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5325" windowWidth="15480" windowHeight="7035" tabRatio="855" firstSheet="4" activeTab="5"/>
  </bookViews>
  <sheets>
    <sheet name="Control Total Variances" sheetId="1" state="hidden" r:id="rId1"/>
    <sheet name="Original 2011-12 (@11-12)" sheetId="2" state="hidden" r:id="rId2"/>
    <sheet name="Change Summary by catogory" sheetId="3" state="hidden" r:id="rId3"/>
    <sheet name="Summary by Service" sheetId="4" state="hidden" r:id="rId4"/>
    <sheet name="2012-13" sheetId="5" r:id="rId5"/>
    <sheet name="2013-14" sheetId="6" r:id="rId6"/>
    <sheet name="2014-15" sheetId="7" r:id="rId7"/>
    <sheet name="2015-16" sheetId="8" r:id="rId8"/>
    <sheet name="2016-17" sheetId="9" state="hidden" r:id="rId9"/>
    <sheet name="Waterfall" sheetId="10" state="hidden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nm._FilterDatabase" localSheetId="4" hidden="1">'2012-13'!$A$3:$P$111</definedName>
    <definedName name="_xlnm._FilterDatabase" localSheetId="5" hidden="1">'2013-14'!$A$3:$K$111</definedName>
    <definedName name="_xlnm._FilterDatabase" localSheetId="6" hidden="1">'2014-15'!$A$3:$K$111</definedName>
    <definedName name="_xlnm._FilterDatabase" localSheetId="7" hidden="1">'2015-16'!$A$3:$K$111</definedName>
    <definedName name="_xlnm._FilterDatabase" localSheetId="8" hidden="1">'2016-17'!$A$3:$J$111</definedName>
    <definedName name="_xlnm.Print_Area" localSheetId="4">'2012-13'!$A$1:$K$111</definedName>
    <definedName name="_xlnm.Print_Area" localSheetId="5">'2013-14'!$A$1:$K$111</definedName>
    <definedName name="_xlnm.Print_Area" localSheetId="6">'2014-15'!$A$1:$K$111</definedName>
    <definedName name="_xlnm.Print_Area" localSheetId="7">'2015-16'!$A$1:$K$117</definedName>
    <definedName name="_xlnm.Print_Area" localSheetId="8">'2016-17'!$A$1:$J$111</definedName>
    <definedName name="_xlnm.Print_Area" localSheetId="2">'Change Summary by catogory'!$A$1:$T$148</definedName>
    <definedName name="_xlnm.Print_Area" localSheetId="1">'Original 2011-12 (@11-12)'!$A$1:$L$120</definedName>
    <definedName name="_xlnm.Print_Area" localSheetId="3">'Summary by Service'!$A$1:$O$115</definedName>
    <definedName name="_xlnm.Print_Titles" localSheetId="4">'2012-13'!$1:$2</definedName>
    <definedName name="_xlnm.Print_Titles" localSheetId="5">'2013-14'!$1:$2</definedName>
    <definedName name="_xlnm.Print_Titles" localSheetId="6">'2014-15'!$1:$2</definedName>
    <definedName name="_xlnm.Print_Titles" localSheetId="7">'2015-16'!$1:$2</definedName>
    <definedName name="_xlnm.Print_Titles" localSheetId="8">'2016-17'!$1:$2</definedName>
    <definedName name="_xlnm.Print_Titles" localSheetId="2">'Change Summary by catogory'!$1:$3</definedName>
    <definedName name="_xlnm.Print_Titles" localSheetId="1">'Original 2011-12 (@11-12)'!$1:$2</definedName>
    <definedName name="_xlnm.Print_Titles" localSheetId="3">'Summary by Service'!$1:$2</definedName>
  </definedNames>
  <calcPr fullCalcOnLoad="1"/>
</workbook>
</file>

<file path=xl/comments5.xml><?xml version="1.0" encoding="utf-8"?>
<comments xmlns="http://schemas.openxmlformats.org/spreadsheetml/2006/main">
  <authors>
    <author>Martin Westmoreland</author>
  </authors>
  <commentList>
    <comment ref="I2" authorId="0">
      <text>
        <r>
          <rPr>
            <b/>
            <sz val="14"/>
            <rFont val="Tahoma"/>
            <family val="2"/>
          </rPr>
          <t>Martin Westmoreland:</t>
        </r>
        <r>
          <rPr>
            <sz val="14"/>
            <rFont val="Tahoma"/>
            <family val="2"/>
          </rPr>
          <t xml:space="preserve">
Note this column is a munal input from the New bids to priortise document.  It shows the incremental cost of those schemes</t>
        </r>
      </text>
    </comment>
  </commentList>
</comments>
</file>

<file path=xl/sharedStrings.xml><?xml version="1.0" encoding="utf-8"?>
<sst xmlns="http://schemas.openxmlformats.org/spreadsheetml/2006/main" count="1139" uniqueCount="248">
  <si>
    <t>Base Budget 2010/11</t>
  </si>
  <si>
    <t>Pressures</t>
  </si>
  <si>
    <t>Efficiency Savings</t>
  </si>
  <si>
    <t>Invest to Save</t>
  </si>
  <si>
    <t>Fees &amp; Charges</t>
  </si>
  <si>
    <t>Service Reductions</t>
  </si>
  <si>
    <t>Projected Budget 2011/12</t>
  </si>
  <si>
    <t>Finance</t>
  </si>
  <si>
    <t>Corporate Finance</t>
  </si>
  <si>
    <t>Accountancy</t>
  </si>
  <si>
    <t>Contractual Inflation</t>
  </si>
  <si>
    <t>Internal Audit</t>
  </si>
  <si>
    <t>Concessionary Fares</t>
  </si>
  <si>
    <t>Investigations</t>
  </si>
  <si>
    <t>People and Equalities</t>
  </si>
  <si>
    <t>Employment Services</t>
  </si>
  <si>
    <t>H&amp;S</t>
  </si>
  <si>
    <t>Job Evaluation</t>
  </si>
  <si>
    <t>Learning &amp; Development</t>
  </si>
  <si>
    <t>Payroll</t>
  </si>
  <si>
    <t>Procurement</t>
  </si>
  <si>
    <t>Customer Services</t>
  </si>
  <si>
    <t>Business Transformation</t>
  </si>
  <si>
    <t>Law &amp; Governance</t>
  </si>
  <si>
    <t>City Regeneration</t>
  </si>
  <si>
    <t>City Development</t>
  </si>
  <si>
    <t>Cultural Development</t>
  </si>
  <si>
    <t>Development</t>
  </si>
  <si>
    <t>Information Services</t>
  </si>
  <si>
    <t>City Services</t>
  </si>
  <si>
    <t>Environmental Development</t>
  </si>
  <si>
    <t>Environmental Control</t>
  </si>
  <si>
    <t>Environmental Sustainability</t>
  </si>
  <si>
    <t>Health Development</t>
  </si>
  <si>
    <t>General Management</t>
  </si>
  <si>
    <t>Corporate Assets</t>
  </si>
  <si>
    <t>Finance and Efficiency</t>
  </si>
  <si>
    <t>City Works</t>
  </si>
  <si>
    <t>City Leisure</t>
  </si>
  <si>
    <t>Chief Executive</t>
  </si>
  <si>
    <t>Area Committees</t>
  </si>
  <si>
    <t>NR Service</t>
  </si>
  <si>
    <t>Sure Start</t>
  </si>
  <si>
    <t>Grants</t>
  </si>
  <si>
    <t>Holiday Activities</t>
  </si>
  <si>
    <t>Street Wardens</t>
  </si>
  <si>
    <t>CCTV</t>
  </si>
  <si>
    <t>Crime Strategy</t>
  </si>
  <si>
    <t>PCSO's</t>
  </si>
  <si>
    <t>Canact</t>
  </si>
  <si>
    <t>Homelessness</t>
  </si>
  <si>
    <t>Private Lease</t>
  </si>
  <si>
    <t>Home Choice</t>
  </si>
  <si>
    <t>Housing Advice</t>
  </si>
  <si>
    <t>Housing Options</t>
  </si>
  <si>
    <t>Single Homeless</t>
  </si>
  <si>
    <t>Elderly Services</t>
  </si>
  <si>
    <t>ICT Core Systems</t>
  </si>
  <si>
    <t>ICT Department Costs</t>
  </si>
  <si>
    <t>ICT - Server and Network</t>
  </si>
  <si>
    <t>Shared Back Office</t>
  </si>
  <si>
    <t>Transformation Projects</t>
  </si>
  <si>
    <t>Committees</t>
  </si>
  <si>
    <t>Election Services</t>
  </si>
  <si>
    <t>Legal Services</t>
  </si>
  <si>
    <t>Member Services</t>
  </si>
  <si>
    <t>Scrutiny</t>
  </si>
  <si>
    <t>Executive Support</t>
  </si>
  <si>
    <t>Culture</t>
  </si>
  <si>
    <t>Council Tax</t>
  </si>
  <si>
    <t>Housing Benefit</t>
  </si>
  <si>
    <t>Income and NNDR</t>
  </si>
  <si>
    <t>Scanning</t>
  </si>
  <si>
    <t>£000's</t>
  </si>
  <si>
    <t>Leisure Management</t>
  </si>
  <si>
    <t>Sports Development</t>
  </si>
  <si>
    <t>Allotments</t>
  </si>
  <si>
    <t>Burial Services</t>
  </si>
  <si>
    <t>Countryside</t>
  </si>
  <si>
    <t>Parks</t>
  </si>
  <si>
    <t>Parks Management</t>
  </si>
  <si>
    <t>Technical Services</t>
  </si>
  <si>
    <t>Spatial Development</t>
  </si>
  <si>
    <t>Community Housing Management</t>
  </si>
  <si>
    <t>ICT Telephony</t>
  </si>
  <si>
    <t>Commercial Property</t>
  </si>
  <si>
    <t>Office Accomadation</t>
  </si>
  <si>
    <t>Property Maintainence</t>
  </si>
  <si>
    <t>Property Maintenance</t>
  </si>
  <si>
    <t>Car Parks</t>
  </si>
  <si>
    <t>Waste and Recycling</t>
  </si>
  <si>
    <t>Street Cleansing</t>
  </si>
  <si>
    <t>Markets</t>
  </si>
  <si>
    <t>Public Conveniences</t>
  </si>
  <si>
    <t>Motor Transport</t>
  </si>
  <si>
    <t>Management and Admin</t>
  </si>
  <si>
    <t>Engineering</t>
  </si>
  <si>
    <t>Projected Budget 2013/14</t>
  </si>
  <si>
    <t>Projected Budget 2012/13</t>
  </si>
  <si>
    <t>2010-11</t>
  </si>
  <si>
    <t>2011-12</t>
  </si>
  <si>
    <t>2012-13</t>
  </si>
  <si>
    <t>2013-14</t>
  </si>
  <si>
    <t>Base Values</t>
  </si>
  <si>
    <t>Base Case</t>
  </si>
  <si>
    <t>End Case</t>
  </si>
  <si>
    <t>Street Scene</t>
  </si>
  <si>
    <t>Performance</t>
  </si>
  <si>
    <t>C&amp;N Team</t>
  </si>
  <si>
    <t>Strategy and Enabling</t>
  </si>
  <si>
    <t>Support Services</t>
  </si>
  <si>
    <t>Technical Base Adjustments</t>
  </si>
  <si>
    <t>Corporate Policy and Performance</t>
  </si>
  <si>
    <t>Licencing and Development</t>
  </si>
  <si>
    <t>% Change</t>
  </si>
  <si>
    <t>Community Housing and Dev</t>
  </si>
  <si>
    <t>Policy, Culture and Comms</t>
  </si>
  <si>
    <t>Base Budget 2011/12</t>
  </si>
  <si>
    <t>Oxford City Council’s Revenue Budget at Portfolio Level 2012-13</t>
  </si>
  <si>
    <t>Oxford City Council’s Revenue Budget at Portfolio Level 2011-12</t>
  </si>
  <si>
    <t>Total Portfolio Budget</t>
  </si>
  <si>
    <t>2011-12 base adjusted £90k as per MTFS document 18/1/11</t>
  </si>
  <si>
    <t>2011-12 base adjusted £300k pressure on commercial property income removed</t>
  </si>
  <si>
    <t>£22k pay pressure added as per MTFS document 18/1/11</t>
  </si>
  <si>
    <t>2011-12 base adjusted £90k as per MTFS document 18/1/11 - £15k pressure added for Out of Hours Service as per MTFS document 18/1/11</t>
  </si>
  <si>
    <t>Octabaus savngs recuced by £0k to £37k as per MTFS document 18/1/11</t>
  </si>
  <si>
    <t>2011-12 base adjusted £72k+23k as per MTFS document 18/1/11 - £100k yr1, £100k yr2, £30k yr3 and £30k yr 4 pressures related to CRM role out</t>
  </si>
  <si>
    <t>Licensing and Development</t>
  </si>
  <si>
    <t>£10k included for May morning, £5k for Lord Mayors parade per Labour group 22-1-11</t>
  </si>
  <si>
    <t>£60k Car park security pressure removed as per MTFS document 18/1/11. £10k Parking concession for youth sport clubs, £45k Concession for parking at Ice Rink use per abour Group meeting 22-1-11</t>
  </si>
  <si>
    <t>Reduction in Grant saving of £30k youth activtiites East Oxford and Littlemore reinstated as per labour Grouop session 22-1-11</t>
  </si>
  <si>
    <t>Reduction in Grant saving of £30k youth activtiites East Oxford and Littlemore reinstated  22-1-11 + £10k for dovecote seed funding as per labour Grouop session</t>
  </si>
  <si>
    <t>£20k pressure for free swimming for young people - per labour group session 22-1-11</t>
  </si>
  <si>
    <t>Removal of £2.6k charging for street closures per Labour Group meeting 22-1-11/ £180k of pump priming for HMO per MTFS</t>
  </si>
  <si>
    <t>£24k of recovery related HMO pump Priming</t>
  </si>
  <si>
    <t>Oxford City Council’s Revenue Budget at Portfolio Level 2013-14</t>
  </si>
  <si>
    <t>Link to latest Appendix A Template</t>
  </si>
  <si>
    <t>Oxford Sports Partnership</t>
  </si>
  <si>
    <t>Direct Services</t>
  </si>
  <si>
    <t>Town Hall &amp; Museum</t>
  </si>
  <si>
    <t>Communications</t>
  </si>
  <si>
    <t>Policy &amp; Partnerships</t>
  </si>
  <si>
    <t>Communities &amp; Neighbourhoods</t>
  </si>
  <si>
    <t>Community Grants &amp; Commissioning</t>
  </si>
  <si>
    <t>Community Housing Strategy</t>
  </si>
  <si>
    <t>Housing Needs</t>
  </si>
  <si>
    <t>Safety Strategy &amp; Operations</t>
  </si>
  <si>
    <t>Revenues</t>
  </si>
  <si>
    <t>Business Improvement</t>
  </si>
  <si>
    <t>Strategic Procurement</t>
  </si>
  <si>
    <t>Shared Back Office Services</t>
  </si>
  <si>
    <t>Transformation</t>
  </si>
  <si>
    <t>ICT Services</t>
  </si>
  <si>
    <t>Off Street Parking</t>
  </si>
  <si>
    <t>Waste &amp; Recycling Domestic</t>
  </si>
  <si>
    <t>Waste &amp; Recycling Trade</t>
  </si>
  <si>
    <t>Street Scenes</t>
  </si>
  <si>
    <t>Garages</t>
  </si>
  <si>
    <t>Miscellaneous</t>
  </si>
  <si>
    <t>Local Overheads</t>
  </si>
  <si>
    <t>Building Services</t>
  </si>
  <si>
    <t>S11</t>
  </si>
  <si>
    <t>S01</t>
  </si>
  <si>
    <t>S14</t>
  </si>
  <si>
    <t>S13</t>
  </si>
  <si>
    <t>S32</t>
  </si>
  <si>
    <t>S31</t>
  </si>
  <si>
    <t>S03</t>
  </si>
  <si>
    <t>S12</t>
  </si>
  <si>
    <t>S23</t>
  </si>
  <si>
    <t>S21</t>
  </si>
  <si>
    <t>S22</t>
  </si>
  <si>
    <t>S33</t>
  </si>
  <si>
    <t>S34</t>
  </si>
  <si>
    <t>Total Controllable Budget 2011-12 per Agresso @  13.09.11</t>
  </si>
  <si>
    <t>Total Controllable and Non-controllable Budget</t>
  </si>
  <si>
    <t>Difference to template Base Budget</t>
  </si>
  <si>
    <t>Oxford City Council’s Revenue Budget at Portfolio Level 2014-15</t>
  </si>
  <si>
    <t>Projected Budget 2014/15</t>
  </si>
  <si>
    <t>Oxford City Council’s Revenue Budget at Portfolio Level 2015-16</t>
  </si>
  <si>
    <t>Projected Budget 2015/16</t>
  </si>
  <si>
    <t>Oxford City Council’s Revenue Budget at Portfolio Level 2016-17</t>
  </si>
  <si>
    <t>Projected Budget 2016/17</t>
  </si>
  <si>
    <t>2014-15</t>
  </si>
  <si>
    <t>2015-16</t>
  </si>
  <si>
    <t>2016-17</t>
  </si>
  <si>
    <t>As at February 2011 Appendix 2</t>
  </si>
  <si>
    <t>As at Sept 11 Appendix 2</t>
  </si>
  <si>
    <t>Pressures and Savings Control Totals Comparison by Year</t>
  </si>
  <si>
    <t>Total</t>
  </si>
  <si>
    <t>Variance</t>
  </si>
  <si>
    <t>Communities and Housing</t>
  </si>
  <si>
    <t>ICT</t>
  </si>
  <si>
    <t>Law and Governance</t>
  </si>
  <si>
    <t>Policy Culture and Comms</t>
  </si>
  <si>
    <t>Var</t>
  </si>
  <si>
    <t>Fees and Charges</t>
  </si>
  <si>
    <t>Total Contractual Inflation</t>
  </si>
  <si>
    <t>Total Pressures</t>
  </si>
  <si>
    <t>Total Invest To Save</t>
  </si>
  <si>
    <t>Total Fees and Charges</t>
  </si>
  <si>
    <t>Total Service Reductions</t>
  </si>
  <si>
    <t>Total Budget Proposals</t>
  </si>
  <si>
    <t>Efficiencies</t>
  </si>
  <si>
    <t>Invest To Save</t>
  </si>
  <si>
    <t>Total City Dev</t>
  </si>
  <si>
    <t>Total Corp Assets</t>
  </si>
  <si>
    <t>Total Communities and Housing</t>
  </si>
  <si>
    <t>Total Finance</t>
  </si>
  <si>
    <t>Total ICT</t>
  </si>
  <si>
    <t>Total Business Improvement</t>
  </si>
  <si>
    <t>Total Finance and Efficiency</t>
  </si>
  <si>
    <t>Total Env Dev</t>
  </si>
  <si>
    <t>Total Direct Services</t>
  </si>
  <si>
    <t>Total Customer Services</t>
  </si>
  <si>
    <t>Total City Leisure</t>
  </si>
  <si>
    <t>Total City Services</t>
  </si>
  <si>
    <t>Total PCC</t>
  </si>
  <si>
    <t>Total P&amp;E</t>
  </si>
  <si>
    <t>Total L&amp;G</t>
  </si>
  <si>
    <t>Total Efficiency Savings</t>
  </si>
  <si>
    <t>Total Chief Executive</t>
  </si>
  <si>
    <t>Total Council</t>
  </si>
  <si>
    <t>Additional Proposals 2015-17</t>
  </si>
  <si>
    <t>Change on 2012-15 Position</t>
  </si>
  <si>
    <t>2% Target over 2015-17</t>
  </si>
  <si>
    <t>CD S11 Budgets 12-13 Appendix - 1st Review</t>
  </si>
  <si>
    <t>CA S14 Budgets 12-13 Appendix A - 1st Review</t>
  </si>
  <si>
    <t xml:space="preserve"> S13 CHD Budgets 12-13 Appendix A - 1st Review</t>
  </si>
  <si>
    <t>S32 Fin Budgets 12-13 Appendix A - 1st Review</t>
  </si>
  <si>
    <t>S31 ICT Budgets 12-13 Appendix A - 1st Review</t>
  </si>
  <si>
    <t>S03 BI 2012-13 Appendix A - 1st Review</t>
  </si>
  <si>
    <t>S12 ED Budgets 12-13 Appendix A - 1st Review</t>
  </si>
  <si>
    <t>S23 Dir Serv Budgets 12-13 Appendix A - 1st Review</t>
  </si>
  <si>
    <t>S21 Cust Serv Budgets 12-13 Appendix A - 1st Review</t>
  </si>
  <si>
    <t xml:space="preserve"> S22 City Leis Budgets 12-13 Appendix A - 1st Review</t>
  </si>
  <si>
    <t>S01 PCC 2012.13 Appendix A - 1st Review</t>
  </si>
  <si>
    <t>S33 PE Budgets 12-13 Appendix A - 1st Review</t>
  </si>
  <si>
    <t>S34 L&amp;G Budgets 12-13 Appendix A - 1st Review</t>
  </si>
  <si>
    <t>Table for MTFP</t>
  </si>
  <si>
    <t xml:space="preserve">Contractual Inflation unavoidable </t>
  </si>
  <si>
    <t>Impact on 5 year plan</t>
  </si>
  <si>
    <t>Communites and  Housing</t>
  </si>
  <si>
    <t>Communites and Housing</t>
  </si>
  <si>
    <t>Additional Pressures in 2012-15.  Impact of changes in Benefits Admin to be worked through
Removal of £954k HB Admin Grant pressure</t>
  </si>
  <si>
    <t>Total Savings proposals 2012-16</t>
  </si>
  <si>
    <t>New Investment</t>
  </si>
  <si>
    <t>New Invetsment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</si>
</sst>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;[Red]\ \(#,##0\)"/>
    <numFmt numFmtId="165" formatCode="&quot;£&quot;#,##0;\-&quot;£&quot;\(#,##0\)"/>
    <numFmt numFmtId="166" formatCode="&quot;£&quot;#,##0;[Red]\ &quot;£&quot;\(#,##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;[Red]\ \(#,##0\)"/>
    <numFmt numFmtId="172" formatCode="0.000000"/>
    <numFmt numFmtId="173" formatCode="0%;[Red]\-0%"/>
    <numFmt numFmtId="174" formatCode="_-* #,##0.0_-;\-* #,##0.0_-;_-* &quot;-&quot;??_-;_-@_-"/>
    <numFmt numFmtId="175" formatCode="_-* #,##0_-;\-* #,##0_-;_-* &quot;-&quot;??_-;_-@_-"/>
    <numFmt numFmtId="176" formatCode="_-* #,##0_-;[Red]\-* #,##0_-;_-* &quot;-&quot;??_-;_-@_-"/>
    <numFmt numFmtId="177" formatCode="#,##0;[Red]\ \(#,##0.00\)"/>
    <numFmt numFmtId="178" formatCode="#,##0;\ \(#,##0.00\)"/>
    <numFmt numFmtId="179" formatCode="#,##0.00;[Red]\ \(#,##0.00\)"/>
    <numFmt numFmtId="180" formatCode="#,##0.0;[Red]\ \(#,##0.0\)"/>
    <numFmt numFmtId="181" formatCode="#,##0.000;[Red]\ \(#,##0.000\)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12"/>
      <name val="Arial"/>
      <family val="0"/>
    </font>
    <font>
      <b/>
      <sz val="22"/>
      <name val="Arial"/>
      <family val="2"/>
    </font>
    <font>
      <sz val="8"/>
      <name val="Tahoma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b/>
      <sz val="12"/>
      <name val="Arial"/>
      <family val="0"/>
    </font>
    <font>
      <sz val="15"/>
      <name val="Arial"/>
      <family val="0"/>
    </font>
    <font>
      <b/>
      <sz val="14"/>
      <name val="Tahoma"/>
      <family val="2"/>
    </font>
    <font>
      <sz val="14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2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1" fillId="2" borderId="2" xfId="0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4" xfId="0" applyBorder="1" applyAlignment="1">
      <alignment horizontal="right" vertical="top" wrapText="1"/>
    </xf>
    <xf numFmtId="0" fontId="0" fillId="0" borderId="4" xfId="0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9" fontId="1" fillId="2" borderId="2" xfId="21" applyFont="1" applyFill="1" applyBorder="1" applyAlignment="1">
      <alignment horizontal="center" vertical="top"/>
    </xf>
    <xf numFmtId="9" fontId="1" fillId="2" borderId="1" xfId="21" applyFont="1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9" fontId="1" fillId="2" borderId="3" xfId="21" applyFont="1" applyFill="1" applyBorder="1" applyAlignment="1">
      <alignment horizontal="center" vertical="top"/>
    </xf>
    <xf numFmtId="9" fontId="0" fillId="2" borderId="3" xfId="21" applyFill="1" applyBorder="1" applyAlignment="1">
      <alignment horizontal="center" vertical="top"/>
    </xf>
    <xf numFmtId="9" fontId="0" fillId="2" borderId="3" xfId="21" applyFont="1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0" borderId="4" xfId="0" applyFont="1" applyBorder="1" applyAlignment="1">
      <alignment horizontal="right" vertical="top"/>
    </xf>
    <xf numFmtId="0" fontId="0" fillId="0" borderId="0" xfId="0" applyFill="1" applyAlignment="1">
      <alignment vertical="top" wrapText="1"/>
    </xf>
    <xf numFmtId="166" fontId="0" fillId="0" borderId="0" xfId="0" applyNumberFormat="1" applyFill="1" applyBorder="1" applyAlignment="1">
      <alignment vertical="top"/>
    </xf>
    <xf numFmtId="6" fontId="1" fillId="2" borderId="1" xfId="0" applyNumberFormat="1" applyFont="1" applyFill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/>
    </xf>
    <xf numFmtId="0" fontId="1" fillId="0" borderId="4" xfId="0" applyFont="1" applyBorder="1" applyAlignment="1">
      <alignment horizontal="right" vertical="top" wrapText="1"/>
    </xf>
    <xf numFmtId="0" fontId="0" fillId="0" borderId="4" xfId="0" applyBorder="1" applyAlignment="1">
      <alignment horizontal="right" vertical="top"/>
    </xf>
    <xf numFmtId="0" fontId="1" fillId="0" borderId="4" xfId="0" applyFont="1" applyBorder="1" applyAlignment="1">
      <alignment horizontal="right" vertical="top"/>
    </xf>
    <xf numFmtId="0" fontId="1" fillId="0" borderId="6" xfId="0" applyFont="1" applyBorder="1" applyAlignment="1">
      <alignment horizontal="right" vertical="top" wrapText="1"/>
    </xf>
    <xf numFmtId="0" fontId="0" fillId="0" borderId="0" xfId="0" applyAlignment="1">
      <alignment horizontal="right" vertical="top"/>
    </xf>
    <xf numFmtId="0" fontId="5" fillId="0" borderId="3" xfId="0" applyFont="1" applyBorder="1" applyAlignment="1">
      <alignment horizontal="right" vertical="top"/>
    </xf>
    <xf numFmtId="0" fontId="1" fillId="0" borderId="2" xfId="0" applyFon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171" fontId="1" fillId="2" borderId="1" xfId="0" applyNumberFormat="1" applyFont="1" applyFill="1" applyBorder="1" applyAlignment="1">
      <alignment vertical="top" wrapText="1"/>
    </xf>
    <xf numFmtId="171" fontId="1" fillId="0" borderId="1" xfId="0" applyNumberFormat="1" applyFont="1" applyFill="1" applyBorder="1" applyAlignment="1">
      <alignment vertical="top" wrapText="1"/>
    </xf>
    <xf numFmtId="171" fontId="1" fillId="2" borderId="3" xfId="0" applyNumberFormat="1" applyFont="1" applyFill="1" applyBorder="1" applyAlignment="1">
      <alignment vertical="top" wrapText="1"/>
    </xf>
    <xf numFmtId="171" fontId="1" fillId="0" borderId="3" xfId="0" applyNumberFormat="1" applyFont="1" applyFill="1" applyBorder="1" applyAlignment="1">
      <alignment vertical="top" wrapText="1"/>
    </xf>
    <xf numFmtId="171" fontId="1" fillId="0" borderId="3" xfId="0" applyNumberFormat="1" applyFont="1" applyBorder="1" applyAlignment="1">
      <alignment vertical="top" wrapText="1"/>
    </xf>
    <xf numFmtId="171" fontId="0" fillId="2" borderId="3" xfId="0" applyNumberFormat="1" applyFill="1" applyBorder="1" applyAlignment="1">
      <alignment vertical="top" wrapText="1"/>
    </xf>
    <xf numFmtId="171" fontId="0" fillId="0" borderId="3" xfId="0" applyNumberFormat="1" applyBorder="1" applyAlignment="1">
      <alignment vertical="top" wrapText="1"/>
    </xf>
    <xf numFmtId="171" fontId="0" fillId="2" borderId="3" xfId="0" applyNumberFormat="1" applyFont="1" applyFill="1" applyBorder="1" applyAlignment="1">
      <alignment vertical="top" wrapText="1"/>
    </xf>
    <xf numFmtId="171" fontId="0" fillId="0" borderId="3" xfId="0" applyNumberFormat="1" applyFont="1" applyFill="1" applyBorder="1" applyAlignment="1">
      <alignment vertical="top" wrapText="1"/>
    </xf>
    <xf numFmtId="171" fontId="1" fillId="2" borderId="5" xfId="0" applyNumberFormat="1" applyFont="1" applyFill="1" applyBorder="1" applyAlignment="1">
      <alignment vertical="top" wrapText="1"/>
    </xf>
    <xf numFmtId="171" fontId="1" fillId="0" borderId="5" xfId="0" applyNumberFormat="1" applyFont="1" applyFill="1" applyBorder="1" applyAlignment="1">
      <alignment vertical="top" wrapText="1"/>
    </xf>
    <xf numFmtId="171" fontId="0" fillId="2" borderId="5" xfId="0" applyNumberFormat="1" applyFill="1" applyBorder="1" applyAlignment="1">
      <alignment vertical="top" wrapText="1"/>
    </xf>
    <xf numFmtId="171" fontId="0" fillId="0" borderId="5" xfId="0" applyNumberFormat="1" applyBorder="1" applyAlignment="1">
      <alignment vertical="top" wrapText="1"/>
    </xf>
    <xf numFmtId="171" fontId="0" fillId="2" borderId="3" xfId="0" applyNumberFormat="1" applyFill="1" applyBorder="1" applyAlignment="1">
      <alignment vertical="top"/>
    </xf>
    <xf numFmtId="171" fontId="0" fillId="0" borderId="3" xfId="0" applyNumberFormat="1" applyBorder="1" applyAlignment="1">
      <alignment vertical="top"/>
    </xf>
    <xf numFmtId="171" fontId="1" fillId="2" borderId="2" xfId="0" applyNumberFormat="1" applyFont="1" applyFill="1" applyBorder="1" applyAlignment="1">
      <alignment vertical="top" wrapText="1"/>
    </xf>
    <xf numFmtId="171" fontId="1" fillId="0" borderId="2" xfId="0" applyNumberFormat="1" applyFont="1" applyFill="1" applyBorder="1" applyAlignment="1">
      <alignment vertical="top" wrapText="1"/>
    </xf>
    <xf numFmtId="171" fontId="0" fillId="0" borderId="5" xfId="0" applyNumberFormat="1" applyBorder="1" applyAlignment="1">
      <alignment vertical="top"/>
    </xf>
    <xf numFmtId="0" fontId="1" fillId="0" borderId="7" xfId="0" applyFont="1" applyBorder="1" applyAlignment="1">
      <alignment horizontal="right" vertical="top" wrapText="1"/>
    </xf>
    <xf numFmtId="0" fontId="0" fillId="0" borderId="6" xfId="0" applyBorder="1" applyAlignment="1">
      <alignment horizontal="right" vertical="top"/>
    </xf>
    <xf numFmtId="171" fontId="0" fillId="2" borderId="5" xfId="0" applyNumberFormat="1" applyFill="1" applyBorder="1" applyAlignment="1">
      <alignment vertical="top"/>
    </xf>
    <xf numFmtId="171" fontId="0" fillId="0" borderId="5" xfId="0" applyNumberFormat="1" applyFont="1" applyFill="1" applyBorder="1" applyAlignment="1">
      <alignment vertical="top" wrapText="1"/>
    </xf>
    <xf numFmtId="171" fontId="1" fillId="0" borderId="1" xfId="0" applyNumberFormat="1" applyFont="1" applyBorder="1" applyAlignment="1">
      <alignment vertical="top" wrapText="1"/>
    </xf>
    <xf numFmtId="0" fontId="5" fillId="0" borderId="3" xfId="0" applyFont="1" applyBorder="1" applyAlignment="1">
      <alignment horizontal="right" vertical="top" wrapText="1"/>
    </xf>
    <xf numFmtId="0" fontId="1" fillId="0" borderId="8" xfId="0" applyFont="1" applyBorder="1" applyAlignment="1">
      <alignment horizontal="right" vertical="top" wrapText="1"/>
    </xf>
    <xf numFmtId="6" fontId="1" fillId="2" borderId="2" xfId="0" applyNumberFormat="1" applyFont="1" applyFill="1" applyBorder="1" applyAlignment="1">
      <alignment horizontal="right" vertical="top" wrapText="1"/>
    </xf>
    <xf numFmtId="171" fontId="0" fillId="0" borderId="0" xfId="0" applyNumberFormat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9" fontId="1" fillId="0" borderId="0" xfId="2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9" fontId="0" fillId="0" borderId="0" xfId="21" applyFont="1" applyFill="1" applyBorder="1" applyAlignment="1">
      <alignment horizontal="center" vertical="top"/>
    </xf>
    <xf numFmtId="9" fontId="0" fillId="0" borderId="0" xfId="21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7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9" fontId="1" fillId="0" borderId="0" xfId="21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9" fontId="0" fillId="0" borderId="0" xfId="21" applyFill="1" applyBorder="1" applyAlignment="1">
      <alignment horizontal="left" vertical="top"/>
    </xf>
    <xf numFmtId="9" fontId="3" fillId="0" borderId="0" xfId="20" applyFill="1" applyBorder="1" applyAlignment="1">
      <alignment horizontal="left" vertical="top"/>
    </xf>
    <xf numFmtId="166" fontId="0" fillId="0" borderId="0" xfId="0" applyNumberFormat="1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9" fontId="0" fillId="2" borderId="3" xfId="21" applyFill="1" applyBorder="1" applyAlignment="1">
      <alignment horizontal="center" vertical="top"/>
    </xf>
    <xf numFmtId="173" fontId="1" fillId="2" borderId="1" xfId="21" applyNumberFormat="1" applyFont="1" applyFill="1" applyBorder="1" applyAlignment="1">
      <alignment horizontal="center" vertical="top"/>
    </xf>
    <xf numFmtId="171" fontId="1" fillId="0" borderId="4" xfId="0" applyNumberFormat="1" applyFont="1" applyFill="1" applyBorder="1" applyAlignment="1">
      <alignment vertical="top" wrapText="1"/>
    </xf>
    <xf numFmtId="173" fontId="1" fillId="2" borderId="3" xfId="21" applyNumberFormat="1" applyFont="1" applyFill="1" applyBorder="1" applyAlignment="1">
      <alignment horizontal="center" vertical="top"/>
    </xf>
    <xf numFmtId="173" fontId="0" fillId="2" borderId="3" xfId="21" applyNumberFormat="1" applyFont="1" applyFill="1" applyBorder="1" applyAlignment="1">
      <alignment horizontal="center" vertical="top"/>
    </xf>
    <xf numFmtId="173" fontId="1" fillId="2" borderId="2" xfId="21" applyNumberFormat="1" applyFont="1" applyFill="1" applyBorder="1" applyAlignment="1">
      <alignment horizontal="center" vertical="top"/>
    </xf>
    <xf numFmtId="0" fontId="3" fillId="0" borderId="0" xfId="20" applyAlignment="1">
      <alignment/>
    </xf>
    <xf numFmtId="0" fontId="0" fillId="0" borderId="4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7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 wrapText="1"/>
    </xf>
    <xf numFmtId="9" fontId="1" fillId="0" borderId="0" xfId="21" applyFont="1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9" fontId="0" fillId="0" borderId="0" xfId="21" applyFont="1" applyFill="1" applyBorder="1" applyAlignment="1">
      <alignment horizontal="right" vertical="top"/>
    </xf>
    <xf numFmtId="9" fontId="0" fillId="0" borderId="0" xfId="21" applyFill="1" applyBorder="1" applyAlignment="1">
      <alignment horizontal="right" vertical="top"/>
    </xf>
    <xf numFmtId="9" fontId="0" fillId="0" borderId="0" xfId="21" applyFont="1" applyFill="1" applyBorder="1" applyAlignment="1">
      <alignment horizontal="right" vertical="top"/>
    </xf>
    <xf numFmtId="0" fontId="0" fillId="0" borderId="0" xfId="0" applyFill="1" applyAlignment="1">
      <alignment horizontal="right" vertical="top"/>
    </xf>
    <xf numFmtId="166" fontId="0" fillId="0" borderId="0" xfId="0" applyNumberFormat="1" applyFill="1" applyBorder="1" applyAlignment="1">
      <alignment horizontal="right" vertical="top"/>
    </xf>
    <xf numFmtId="175" fontId="1" fillId="0" borderId="0" xfId="15" applyNumberFormat="1" applyFont="1" applyFill="1" applyBorder="1" applyAlignment="1">
      <alignment horizontal="center" vertical="top"/>
    </xf>
    <xf numFmtId="175" fontId="0" fillId="0" borderId="0" xfId="0" applyNumberFormat="1" applyAlignment="1">
      <alignment vertical="top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175" fontId="1" fillId="0" borderId="0" xfId="21" applyNumberFormat="1" applyFont="1" applyFill="1" applyBorder="1" applyAlignment="1">
      <alignment horizontal="center" vertical="top"/>
    </xf>
    <xf numFmtId="175" fontId="0" fillId="0" borderId="0" xfId="15" applyNumberFormat="1" applyAlignment="1">
      <alignment vertical="top"/>
    </xf>
    <xf numFmtId="171" fontId="0" fillId="0" borderId="3" xfId="0" applyNumberFormat="1" applyFill="1" applyBorder="1" applyAlignment="1">
      <alignment vertical="top"/>
    </xf>
    <xf numFmtId="176" fontId="0" fillId="0" borderId="0" xfId="15" applyNumberFormat="1" applyAlignment="1">
      <alignment/>
    </xf>
    <xf numFmtId="0" fontId="1" fillId="2" borderId="2" xfId="0" applyFont="1" applyFill="1" applyBorder="1" applyAlignment="1">
      <alignment horizontal="center"/>
    </xf>
    <xf numFmtId="176" fontId="0" fillId="0" borderId="0" xfId="0" applyNumberFormat="1" applyBorder="1" applyAlignment="1">
      <alignment/>
    </xf>
    <xf numFmtId="176" fontId="1" fillId="0" borderId="9" xfId="0" applyNumberFormat="1" applyFont="1" applyBorder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Alignment="1">
      <alignment/>
    </xf>
    <xf numFmtId="176" fontId="0" fillId="0" borderId="9" xfId="0" applyNumberFormat="1" applyFill="1" applyBorder="1" applyAlignment="1">
      <alignment/>
    </xf>
    <xf numFmtId="0" fontId="9" fillId="0" borderId="0" xfId="0" applyFont="1" applyAlignment="1">
      <alignment/>
    </xf>
    <xf numFmtId="177" fontId="0" fillId="0" borderId="0" xfId="0" applyNumberFormat="1" applyAlignment="1">
      <alignment/>
    </xf>
    <xf numFmtId="177" fontId="1" fillId="0" borderId="0" xfId="0" applyNumberFormat="1" applyFont="1" applyAlignment="1">
      <alignment/>
    </xf>
    <xf numFmtId="0" fontId="10" fillId="0" borderId="0" xfId="0" applyFont="1" applyAlignment="1">
      <alignment/>
    </xf>
    <xf numFmtId="179" fontId="0" fillId="0" borderId="0" xfId="0" applyNumberFormat="1" applyAlignment="1">
      <alignment/>
    </xf>
    <xf numFmtId="179" fontId="1" fillId="0" borderId="10" xfId="0" applyNumberFormat="1" applyFont="1" applyBorder="1" applyAlignment="1">
      <alignment/>
    </xf>
    <xf numFmtId="179" fontId="1" fillId="0" borderId="0" xfId="0" applyNumberFormat="1" applyFont="1" applyBorder="1" applyAlignment="1">
      <alignment/>
    </xf>
    <xf numFmtId="179" fontId="1" fillId="0" borderId="0" xfId="0" applyNumberFormat="1" applyFont="1" applyAlignment="1">
      <alignment/>
    </xf>
    <xf numFmtId="179" fontId="10" fillId="0" borderId="0" xfId="0" applyNumberFormat="1" applyFont="1" applyBorder="1" applyAlignment="1">
      <alignment/>
    </xf>
    <xf numFmtId="179" fontId="10" fillId="0" borderId="0" xfId="0" applyNumberFormat="1" applyFont="1" applyAlignment="1">
      <alignment/>
    </xf>
    <xf numFmtId="179" fontId="0" fillId="0" borderId="0" xfId="0" applyNumberFormat="1" applyAlignment="1">
      <alignment vertical="top"/>
    </xf>
    <xf numFmtId="17" fontId="1" fillId="0" borderId="0" xfId="0" applyNumberFormat="1" applyFont="1" applyAlignment="1">
      <alignment/>
    </xf>
    <xf numFmtId="17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0" fillId="2" borderId="0" xfId="0" applyFont="1" applyFill="1" applyAlignment="1">
      <alignment/>
    </xf>
    <xf numFmtId="179" fontId="10" fillId="2" borderId="10" xfId="0" applyNumberFormat="1" applyFont="1" applyFill="1" applyBorder="1" applyAlignment="1">
      <alignment/>
    </xf>
    <xf numFmtId="171" fontId="0" fillId="0" borderId="3" xfId="0" applyNumberFormat="1" applyFill="1" applyBorder="1" applyAlignment="1">
      <alignment vertical="top" wrapText="1"/>
    </xf>
    <xf numFmtId="0" fontId="0" fillId="3" borderId="0" xfId="0" applyFill="1" applyAlignment="1">
      <alignment vertical="top" wrapText="1"/>
    </xf>
    <xf numFmtId="0" fontId="1" fillId="3" borderId="0" xfId="0" applyFont="1" applyFill="1" applyAlignment="1">
      <alignment vertical="top" wrapText="1"/>
    </xf>
    <xf numFmtId="0" fontId="1" fillId="3" borderId="0" xfId="0" applyFont="1" applyFill="1" applyAlignment="1">
      <alignment horizontal="right" vertical="top" wrapText="1"/>
    </xf>
    <xf numFmtId="0" fontId="1" fillId="3" borderId="0" xfId="0" applyFont="1" applyFill="1" applyBorder="1" applyAlignment="1">
      <alignment vertical="top" wrapText="1"/>
    </xf>
    <xf numFmtId="0" fontId="1" fillId="3" borderId="0" xfId="0" applyFont="1" applyFill="1" applyBorder="1" applyAlignment="1">
      <alignment horizontal="right" vertical="top" wrapText="1"/>
    </xf>
    <xf numFmtId="0" fontId="0" fillId="3" borderId="0" xfId="0" applyFill="1" applyAlignment="1">
      <alignment vertical="top"/>
    </xf>
    <xf numFmtId="0" fontId="1" fillId="3" borderId="0" xfId="0" applyFont="1" applyFill="1" applyAlignment="1">
      <alignment vertical="top"/>
    </xf>
    <xf numFmtId="0" fontId="1" fillId="3" borderId="0" xfId="0" applyFont="1" applyFill="1" applyAlignment="1">
      <alignment horizontal="right" vertical="top"/>
    </xf>
    <xf numFmtId="0" fontId="1" fillId="3" borderId="0" xfId="0" applyFont="1" applyFill="1" applyBorder="1" applyAlignment="1">
      <alignment horizontal="right" vertical="top"/>
    </xf>
    <xf numFmtId="171" fontId="0" fillId="3" borderId="0" xfId="0" applyNumberFormat="1" applyFill="1" applyAlignment="1">
      <alignment vertical="top"/>
    </xf>
    <xf numFmtId="171" fontId="1" fillId="3" borderId="0" xfId="0" applyNumberFormat="1" applyFont="1" applyFill="1" applyAlignment="1">
      <alignment vertical="top"/>
    </xf>
    <xf numFmtId="171" fontId="1" fillId="3" borderId="0" xfId="0" applyNumberFormat="1" applyFont="1" applyFill="1" applyBorder="1" applyAlignment="1">
      <alignment vertical="top"/>
    </xf>
    <xf numFmtId="171" fontId="0" fillId="3" borderId="0" xfId="0" applyNumberFormat="1" applyFill="1" applyBorder="1" applyAlignment="1">
      <alignment vertical="top"/>
    </xf>
    <xf numFmtId="0" fontId="1" fillId="3" borderId="10" xfId="0" applyFont="1" applyFill="1" applyBorder="1" applyAlignment="1">
      <alignment vertical="top"/>
    </xf>
    <xf numFmtId="171" fontId="1" fillId="3" borderId="10" xfId="0" applyNumberFormat="1" applyFont="1" applyFill="1" applyBorder="1" applyAlignment="1">
      <alignment vertical="top"/>
    </xf>
    <xf numFmtId="171" fontId="1" fillId="4" borderId="10" xfId="0" applyNumberFormat="1" applyFont="1" applyFill="1" applyBorder="1" applyAlignment="1">
      <alignment vertical="top"/>
    </xf>
    <xf numFmtId="0" fontId="6" fillId="3" borderId="0" xfId="0" applyFont="1" applyFill="1" applyAlignment="1">
      <alignment vertical="top"/>
    </xf>
    <xf numFmtId="0" fontId="12" fillId="2" borderId="10" xfId="0" applyFont="1" applyFill="1" applyBorder="1" applyAlignment="1">
      <alignment vertical="top"/>
    </xf>
    <xf numFmtId="171" fontId="12" fillId="2" borderId="10" xfId="0" applyNumberFormat="1" applyFont="1" applyFill="1" applyBorder="1" applyAlignment="1">
      <alignment vertical="top"/>
    </xf>
    <xf numFmtId="171" fontId="12" fillId="3" borderId="0" xfId="0" applyNumberFormat="1" applyFont="1" applyFill="1" applyBorder="1" applyAlignment="1">
      <alignment vertical="top"/>
    </xf>
    <xf numFmtId="171" fontId="12" fillId="2" borderId="10" xfId="0" applyNumberFormat="1" applyFont="1" applyFill="1" applyBorder="1" applyAlignment="1">
      <alignment vertical="top"/>
    </xf>
    <xf numFmtId="0" fontId="6" fillId="3" borderId="0" xfId="0" applyFont="1" applyFill="1" applyAlignment="1">
      <alignment vertical="top" wrapText="1"/>
    </xf>
    <xf numFmtId="0" fontId="0" fillId="3" borderId="0" xfId="0" applyFont="1" applyFill="1" applyBorder="1" applyAlignment="1">
      <alignment vertical="top"/>
    </xf>
    <xf numFmtId="171" fontId="0" fillId="3" borderId="0" xfId="0" applyNumberFormat="1" applyFont="1" applyFill="1" applyBorder="1" applyAlignment="1">
      <alignment vertical="top"/>
    </xf>
    <xf numFmtId="0" fontId="11" fillId="2" borderId="10" xfId="0" applyFont="1" applyFill="1" applyBorder="1" applyAlignment="1">
      <alignment vertical="top"/>
    </xf>
    <xf numFmtId="171" fontId="11" fillId="2" borderId="10" xfId="0" applyNumberFormat="1" applyFont="1" applyFill="1" applyBorder="1" applyAlignment="1">
      <alignment vertical="top"/>
    </xf>
    <xf numFmtId="171" fontId="11" fillId="3" borderId="0" xfId="0" applyNumberFormat="1" applyFont="1" applyFill="1" applyBorder="1" applyAlignment="1">
      <alignment vertical="top"/>
    </xf>
    <xf numFmtId="171" fontId="11" fillId="2" borderId="10" xfId="0" applyNumberFormat="1" applyFont="1" applyFill="1" applyBorder="1" applyAlignment="1">
      <alignment vertical="top"/>
    </xf>
    <xf numFmtId="0" fontId="13" fillId="3" borderId="0" xfId="0" applyFont="1" applyFill="1" applyAlignment="1">
      <alignment vertical="top"/>
    </xf>
    <xf numFmtId="0" fontId="13" fillId="3" borderId="0" xfId="0" applyFont="1" applyFill="1" applyAlignment="1">
      <alignment vertical="top" wrapText="1"/>
    </xf>
    <xf numFmtId="0" fontId="1" fillId="3" borderId="0" xfId="0" applyFont="1" applyFill="1" applyBorder="1" applyAlignment="1">
      <alignment vertical="top"/>
    </xf>
    <xf numFmtId="0" fontId="0" fillId="3" borderId="0" xfId="0" applyFill="1" applyBorder="1" applyAlignment="1">
      <alignment vertical="top"/>
    </xf>
    <xf numFmtId="0" fontId="7" fillId="0" borderId="8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externalLink" Target="externalLinks/externalLink17.xml" /><Relationship Id="rId30" Type="http://schemas.openxmlformats.org/officeDocument/2006/relationships/externalLink" Target="externalLinks/externalLink18.xml" /><Relationship Id="rId31" Type="http://schemas.openxmlformats.org/officeDocument/2006/relationships/externalLink" Target="externalLinks/externalLink19.xml" /><Relationship Id="rId32" Type="http://schemas.openxmlformats.org/officeDocument/2006/relationships/externalLink" Target="externalLinks/externalLink20.xml" /><Relationship Id="rId33" Type="http://schemas.openxmlformats.org/officeDocument/2006/relationships/externalLink" Target="externalLinks/externalLink21.xml" /><Relationship Id="rId34" Type="http://schemas.openxmlformats.org/officeDocument/2006/relationships/externalLink" Target="externalLinks/externalLink22.xml" /><Relationship Id="rId35" Type="http://schemas.openxmlformats.org/officeDocument/2006/relationships/externalLink" Target="externalLinks/externalLink23.xml" /><Relationship Id="rId36" Type="http://schemas.openxmlformats.org/officeDocument/2006/relationships/externalLink" Target="externalLinks/externalLink24.xml" /><Relationship Id="rId37" Type="http://schemas.openxmlformats.org/officeDocument/2006/relationships/externalLink" Target="externalLinks/externalLink25.xml" /><Relationship Id="rId38" Type="http://schemas.openxmlformats.org/officeDocument/2006/relationships/externalLink" Target="externalLinks/externalLink26.xml" /><Relationship Id="rId39" Type="http://schemas.openxmlformats.org/officeDocument/2006/relationships/externalLink" Target="externalLinks/externalLink27.xml" /><Relationship Id="rId4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Waterfall!$B$2</c:f>
              <c:strCache>
                <c:ptCount val="1"/>
                <c:pt idx="0">
                  <c:v>Base Values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Waterfall!$B$3:$B$8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Waterfall!$C$2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Waterfall!$C$3:$C$8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Waterfall!$D$2</c:f>
              <c:strCache>
                <c:ptCount val="1"/>
                <c:pt idx="0">
                  <c:v>Efficiency Savings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Waterfall!$D$3:$D$8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Waterfall!$E$2</c:f>
              <c:strCache>
                <c:ptCount val="1"/>
                <c:pt idx="0">
                  <c:v>Fees &amp; Charges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Waterfall!$E$3:$E$8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Waterfall!$F$2</c:f>
              <c:strCache>
                <c:ptCount val="1"/>
                <c:pt idx="0">
                  <c:v>Service Reductions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Waterfall!$F$3:$F$8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Waterfall!$G$2</c:f>
              <c:strCache>
                <c:ptCount val="1"/>
                <c:pt idx="0">
                  <c:v>Pressures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Waterfall!$G$3:$G$8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tx>
            <c:strRef>
              <c:f>Waterfall!$H$2</c:f>
              <c:strCache>
                <c:ptCount val="1"/>
                <c:pt idx="0">
                  <c:v>Contractual Inflation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Waterfall!$H$3:$H$8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tx>
            <c:strRef>
              <c:f>Waterfall!$I$2</c:f>
              <c:strCache>
                <c:ptCount val="1"/>
                <c:pt idx="0">
                  <c:v>Invest to Save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Waterfall!$I$3:$I$8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65383950"/>
        <c:axId val="51584639"/>
      </c:barChart>
      <c:catAx>
        <c:axId val="65383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584639"/>
        <c:crosses val="autoZero"/>
        <c:auto val="1"/>
        <c:lblOffset val="100"/>
        <c:noMultiLvlLbl val="0"/>
      </c:catAx>
      <c:valAx>
        <c:axId val="5158463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3839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0.1425</cdr:x>
      <cdr:y>0.14275</cdr:y>
    </cdr:from>
    <cdr:to>
      <cdr:x>0.2195</cdr:x>
      <cdr:y>0.14275</cdr:y>
    </cdr:to>
    <cdr:sp>
      <cdr:nvSpPr>
        <cdr:cNvPr id="1" name="Line 1"/>
        <cdr:cNvSpPr>
          <a:spLocks/>
        </cdr:cNvSpPr>
      </cdr:nvSpPr>
      <cdr:spPr>
        <a:xfrm>
          <a:off x="1009650" y="5334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0.2635</cdr:x>
      <cdr:y>0.29625</cdr:y>
    </cdr:from>
    <cdr:to>
      <cdr:x>0.3405</cdr:x>
      <cdr:y>0.29625</cdr:y>
    </cdr:to>
    <cdr:sp>
      <cdr:nvSpPr>
        <cdr:cNvPr id="2" name="Line 2"/>
        <cdr:cNvSpPr>
          <a:spLocks/>
        </cdr:cNvSpPr>
      </cdr:nvSpPr>
      <cdr:spPr>
        <a:xfrm>
          <a:off x="1866900" y="11049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0.48875</cdr:x>
      <cdr:y>0.49675</cdr:y>
    </cdr:from>
    <cdr:to>
      <cdr:x>0.56525</cdr:x>
      <cdr:y>0.49675</cdr:y>
    </cdr:to>
    <cdr:sp>
      <cdr:nvSpPr>
        <cdr:cNvPr id="3" name="Line 3"/>
        <cdr:cNvSpPr>
          <a:spLocks/>
        </cdr:cNvSpPr>
      </cdr:nvSpPr>
      <cdr:spPr>
        <a:xfrm>
          <a:off x="3457575" y="18573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0.3775</cdr:x>
      <cdr:y>0.40525</cdr:y>
    </cdr:from>
    <cdr:to>
      <cdr:x>0.454</cdr:x>
      <cdr:y>0.40525</cdr:y>
    </cdr:to>
    <cdr:sp>
      <cdr:nvSpPr>
        <cdr:cNvPr id="4" name="Line 6"/>
        <cdr:cNvSpPr>
          <a:spLocks/>
        </cdr:cNvSpPr>
      </cdr:nvSpPr>
      <cdr:spPr>
        <a:xfrm>
          <a:off x="2667000" y="15144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0.60675</cdr:x>
      <cdr:y>0.55975</cdr:y>
    </cdr:from>
    <cdr:to>
      <cdr:x>0.68325</cdr:x>
      <cdr:y>0.55975</cdr:y>
    </cdr:to>
    <cdr:sp>
      <cdr:nvSpPr>
        <cdr:cNvPr id="5" name="Line 7"/>
        <cdr:cNvSpPr>
          <a:spLocks/>
        </cdr:cNvSpPr>
      </cdr:nvSpPr>
      <cdr:spPr>
        <a:xfrm>
          <a:off x="4295775" y="20859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47625</xdr:rowOff>
    </xdr:from>
    <xdr:to>
      <xdr:col>14</xdr:col>
      <xdr:colOff>19050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2219325" y="1828800"/>
        <a:ext cx="70866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590550</xdr:colOff>
      <xdr:row>12</xdr:row>
      <xdr:rowOff>104775</xdr:rowOff>
    </xdr:from>
    <xdr:to>
      <xdr:col>5</xdr:col>
      <xdr:colOff>266700</xdr:colOff>
      <xdr:row>12</xdr:row>
      <xdr:rowOff>104775</xdr:rowOff>
    </xdr:to>
    <xdr:sp>
      <xdr:nvSpPr>
        <xdr:cNvPr id="2" name="Line 2"/>
        <xdr:cNvSpPr>
          <a:spLocks/>
        </xdr:cNvSpPr>
      </xdr:nvSpPr>
      <xdr:spPr>
        <a:xfrm>
          <a:off x="3419475" y="23717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01%20Policy%20Culture%20%20Comms%20-%20Linked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12%20Env%20Dev%20Budget%20-%20Linked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33%20People%20%20Equalities%20-%20Linked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32%20Finance%20draft%20budget%20-%20Linked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13%20Community%20Housing%20%20Development%20-%20Linked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Labour%20Group%20Papers\Labour%20Group%20Papers%20Post%2014th%20October\Service%20Red_Fees%20and%20Charges%20listing%20post%20Oct%2014th%20Ammendments%20v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14%20Corporate%20Assets%20-%20CMT%20Review%2019_9_1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13%20Communities%20and%20Housing%20-%20CMT%20Review%2019_9_1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11%20City%20Dev%20-%20CMT%20Review%2019_9_1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12%20Env%20Dev%20-%20CMT%20Review%2019_9_1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03%20Business%20Improvement%20-%20CMT%20Review%2019_9_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23%20City%20Works%20-%20Linked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31%20ICT%20Budgets%20-%20CMT%20Review%2019_9_1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21%20Cust%20Serv%20-%20CMT%20Review%2019_9_1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33%20People%20and%20Equalities%20-%20CMT%20Review%2019_9_1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32%20%20Finance%20-%20CMT%20Review%2019_9_1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01%20PCC%20-%20CMT%20Review%2019_9_11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23%20Dir%20Serv%20-%20CMT%20Review%2019_9_11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22%20City%20Leis%20-%20CMT%20Review%2019_9_1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34%20Law%20and%20Governance%20-%20CMT%20Review%2019_9_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31%20Business%20Transformation%20-%20Linke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03%20Procurement%20-%20Link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21%20CUSTOMER%20SERVCIES%20-%20Linke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22%20City%20Leisure%20%20Parks%20-%20Linke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34%20Law%20and%20Governanc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14%20Corporate%20Assets%20-%20Linked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11%20City%20Development%20-%20Link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PCC Title Sheet"/>
      <sheetName val="Blank"/>
      <sheetName val="PCC Title Sheet (2)"/>
      <sheetName val="Summary- Policy and Comms merge"/>
      <sheetName val="Detail- Policy and Comms Merged"/>
      <sheetName val="Summary- Culture"/>
      <sheetName val="Detail- Culture"/>
      <sheetName val="PCC Savings Sheet"/>
      <sheetName val="Sheet1"/>
      <sheetName val="Sheet2"/>
      <sheetName val="Sheet3"/>
      <sheetName val="Summary- Corp Policy &amp; Perf"/>
      <sheetName val="Detail- Corp Policy &amp; Perf"/>
      <sheetName val="Summary- ExtInt Comms"/>
      <sheetName val="Detail- ExtInt Comms"/>
      <sheetName val="Summary-ExtInt Consultation"/>
      <sheetName val="Detail-ExtInt Consultation"/>
      <sheetName val="Summary- Social Research"/>
      <sheetName val="Detail- Social Research"/>
      <sheetName val="Detail- Pub Convs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49">
          <cell r="F149">
            <v>0</v>
          </cell>
        </row>
        <row r="151">
          <cell r="F151">
            <v>0</v>
          </cell>
        </row>
        <row r="153">
          <cell r="F153">
            <v>-100.566</v>
          </cell>
        </row>
        <row r="155">
          <cell r="F155">
            <v>-16.386000000000003</v>
          </cell>
        </row>
      </sheetData>
      <sheetData sheetId="13">
        <row r="150">
          <cell r="F150">
            <v>0</v>
          </cell>
        </row>
        <row r="152">
          <cell r="F152">
            <v>185</v>
          </cell>
        </row>
        <row r="154">
          <cell r="F154">
            <v>-1</v>
          </cell>
        </row>
        <row r="156">
          <cell r="F156">
            <v>160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ED Title Sheet"/>
      <sheetName val="blank"/>
      <sheetName val="ED title sheet (2)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 Env Control"/>
      <sheetName val="Detail- Env Control"/>
      <sheetName val="Summary- Env Sustain"/>
      <sheetName val="Detail- Env Sustain"/>
      <sheetName val="Summary- Health Dev"/>
      <sheetName val="Detail- Health Dev"/>
      <sheetName val="Summary- S12 Gen Man"/>
      <sheetName val="Detail- S12 Gen Man"/>
      <sheetName val="Env Dev Savings Sheet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50">
          <cell r="F150">
            <v>0</v>
          </cell>
        </row>
        <row r="152">
          <cell r="F152">
            <v>0</v>
          </cell>
        </row>
        <row r="154">
          <cell r="F154">
            <v>-9.3</v>
          </cell>
        </row>
        <row r="156">
          <cell r="F156">
            <v>0</v>
          </cell>
        </row>
      </sheetData>
      <sheetData sheetId="13">
        <row r="150">
          <cell r="F150">
            <v>0</v>
          </cell>
        </row>
        <row r="152">
          <cell r="F152">
            <v>0</v>
          </cell>
        </row>
        <row r="154">
          <cell r="F154">
            <v>-37.4</v>
          </cell>
        </row>
        <row r="156">
          <cell r="F156">
            <v>0</v>
          </cell>
        </row>
      </sheetData>
      <sheetData sheetId="15">
        <row r="150">
          <cell r="F150">
            <v>0</v>
          </cell>
        </row>
        <row r="152">
          <cell r="F152">
            <v>0</v>
          </cell>
        </row>
        <row r="154">
          <cell r="F154">
            <v>-63</v>
          </cell>
        </row>
        <row r="156">
          <cell r="F156">
            <v>0</v>
          </cell>
        </row>
      </sheetData>
      <sheetData sheetId="17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180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P&amp;E Title Sheet"/>
      <sheetName val="Blank"/>
      <sheetName val="P&amp;E Title Sheet (2)"/>
      <sheetName val="Summary- Emp Services"/>
      <sheetName val="Detail- Emp Services"/>
      <sheetName val="Summary- H&amp;S"/>
      <sheetName val="Detail- H&amp;S"/>
      <sheetName val="Summary- Job Eval"/>
      <sheetName val="Detail- Job Eval"/>
      <sheetName val="Summary- Learning &amp; Dev"/>
      <sheetName val="Detail- Learning &amp; Dev"/>
      <sheetName val="Summary- Payroll"/>
      <sheetName val="Detail- Payroll"/>
      <sheetName val="P&amp;E Savings Sheet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50">
          <cell r="F150">
            <v>0</v>
          </cell>
        </row>
        <row r="152">
          <cell r="F152">
            <v>0</v>
          </cell>
        </row>
        <row r="154">
          <cell r="F154">
            <v>-120</v>
          </cell>
        </row>
        <row r="156">
          <cell r="F156">
            <v>0</v>
          </cell>
        </row>
      </sheetData>
      <sheetData sheetId="13">
        <row r="150">
          <cell r="F150">
            <v>0</v>
          </cell>
        </row>
        <row r="152">
          <cell r="F152">
            <v>0</v>
          </cell>
        </row>
        <row r="154">
          <cell r="F154">
            <v>-30</v>
          </cell>
        </row>
        <row r="156">
          <cell r="F156">
            <v>0</v>
          </cell>
        </row>
      </sheetData>
      <sheetData sheetId="1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7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9">
        <row r="150">
          <cell r="F150">
            <v>0</v>
          </cell>
        </row>
        <row r="152">
          <cell r="F152">
            <v>50</v>
          </cell>
        </row>
        <row r="154">
          <cell r="F154">
            <v>-110</v>
          </cell>
        </row>
        <row r="156">
          <cell r="F156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Finance Title Sheet"/>
      <sheetName val="Blank"/>
      <sheetName val="Finance Title Sheet (2)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 Accountancy"/>
      <sheetName val="Detail- Accountancy"/>
      <sheetName val="Summary- Internal Audit"/>
      <sheetName val="Detail- Internal Audit"/>
      <sheetName val="Summary- Con Bus Fares"/>
      <sheetName val="Detail- Con Bus Fares"/>
      <sheetName val="Summary- Corp Finance"/>
      <sheetName val="Detail- Corp Finance"/>
      <sheetName val="Summary- Investigations"/>
      <sheetName val="Detail- Investigations"/>
      <sheetName val="Finance Savings Sheet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50">
          <cell r="F150">
            <v>0</v>
          </cell>
        </row>
        <row r="152">
          <cell r="F152">
            <v>0</v>
          </cell>
        </row>
        <row r="154">
          <cell r="F154">
            <v>-50</v>
          </cell>
        </row>
        <row r="156">
          <cell r="F156">
            <v>170</v>
          </cell>
        </row>
      </sheetData>
      <sheetData sheetId="13">
        <row r="151">
          <cell r="F151">
            <v>0</v>
          </cell>
        </row>
        <row r="153">
          <cell r="F153">
            <v>-20</v>
          </cell>
        </row>
        <row r="155">
          <cell r="F155">
            <v>0</v>
          </cell>
        </row>
      </sheetData>
      <sheetData sheetId="15">
        <row r="148">
          <cell r="F148">
            <v>0</v>
          </cell>
        </row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</sheetData>
      <sheetData sheetId="17">
        <row r="147">
          <cell r="F147">
            <v>0</v>
          </cell>
        </row>
        <row r="149">
          <cell r="F149">
            <v>0</v>
          </cell>
        </row>
        <row r="151">
          <cell r="F151">
            <v>-16.59</v>
          </cell>
        </row>
        <row r="153">
          <cell r="F153">
            <v>0</v>
          </cell>
        </row>
      </sheetData>
      <sheetData sheetId="19">
        <row r="149">
          <cell r="F149">
            <v>0</v>
          </cell>
        </row>
        <row r="151">
          <cell r="F151">
            <v>5.5</v>
          </cell>
        </row>
        <row r="153">
          <cell r="F153">
            <v>-20</v>
          </cell>
        </row>
        <row r="155">
          <cell r="F155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Head of Service Summary"/>
      <sheetName val="CH&amp;D Title sheet (2)"/>
      <sheetName val="Blank"/>
      <sheetName val="CH&amp;D Title sheet"/>
      <sheetName val="Summary - Area Committees"/>
      <sheetName val="Detail- Area Committees"/>
      <sheetName val="Summary - NR Service"/>
      <sheetName val="Detail- NR Service"/>
      <sheetName val="Summary - Sure Start"/>
      <sheetName val="Detail- Sure Start"/>
      <sheetName val="Summary - C&amp;N Team "/>
      <sheetName val="Detail- C&amp;N Team"/>
      <sheetName val="Summary - Grants"/>
      <sheetName val="Detail- Grants"/>
      <sheetName val="Summary - Comm Hsg M'ment"/>
      <sheetName val="Detail- Comm Housing M'ment"/>
      <sheetName val="Summary - Strategy &amp; Enabling "/>
      <sheetName val="Detail- Strategy &amp; Enabling  "/>
      <sheetName val="Summary - Holiday Activities "/>
      <sheetName val="Detail- Holiday Activities"/>
      <sheetName val="Summary - St Wardens"/>
      <sheetName val="Detail- Street Wardens"/>
      <sheetName val="Summary - CCTV"/>
      <sheetName val="Detail- CCTV"/>
      <sheetName val="Summary - Crime Strategy"/>
      <sheetName val="Detail- Crime Strategy"/>
      <sheetName val="Summary - PCSOs"/>
      <sheetName val="Detail- PCSOs"/>
      <sheetName val="Summary - Canact"/>
      <sheetName val="Summary - Family Support Proj"/>
      <sheetName val="Detail- Family Support Proj"/>
      <sheetName val="Detail- Canact"/>
      <sheetName val="Summary- Homelessness"/>
      <sheetName val="Detail- Homelessness"/>
      <sheetName val="Summary- Private Lease"/>
      <sheetName val="Detail- Private Lease"/>
      <sheetName val="Summary- Home Choice"/>
      <sheetName val="Detail- Home Choice"/>
      <sheetName val="Summary- Housing Advice"/>
      <sheetName val="Detail- Housing Advice"/>
      <sheetName val="Summary- Choice Base Lettings"/>
      <sheetName val="Detail- Choice Based Lettings"/>
      <sheetName val="Summary- Housing Options"/>
      <sheetName val="Detail- Housing Options"/>
      <sheetName val="Summary- Single Homeless"/>
      <sheetName val="Detail- Single Homeless"/>
      <sheetName val="Summary- Enhanced Housing Opts"/>
      <sheetName val="Detail- Enhance Housing Options"/>
      <sheetName val="Summary- Elderly Services"/>
      <sheetName val="Detail- Elderly Services"/>
      <sheetName val="Comm Housing Savings Sheet"/>
      <sheetName val="DO NOT PRINT2"/>
      <sheetName val="DO NOT PRINT"/>
      <sheetName val="Do not print - Hsg Dev Team"/>
      <sheetName val="Do not print - Hsg Dev summary"/>
      <sheetName val="Corporate Finance"/>
    </sheetNames>
    <sheetDataSet>
      <sheetData sheetId="11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3">
        <row r="150">
          <cell r="F150">
            <v>0</v>
          </cell>
        </row>
        <row r="152">
          <cell r="F152">
            <v>0</v>
          </cell>
        </row>
        <row r="154">
          <cell r="F154">
            <v>-20</v>
          </cell>
        </row>
        <row r="156">
          <cell r="F156">
            <v>0</v>
          </cell>
        </row>
      </sheetData>
      <sheetData sheetId="1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7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9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21">
        <row r="150">
          <cell r="F150">
            <v>0</v>
          </cell>
        </row>
        <row r="152">
          <cell r="F152">
            <v>0</v>
          </cell>
        </row>
        <row r="154">
          <cell r="F154">
            <v>-42</v>
          </cell>
        </row>
        <row r="156">
          <cell r="F156">
            <v>0</v>
          </cell>
        </row>
      </sheetData>
      <sheetData sheetId="23">
        <row r="150">
          <cell r="F150">
            <v>0</v>
          </cell>
        </row>
        <row r="152">
          <cell r="F152">
            <v>0</v>
          </cell>
        </row>
        <row r="154">
          <cell r="F154">
            <v>-10</v>
          </cell>
        </row>
        <row r="156">
          <cell r="F156">
            <v>0</v>
          </cell>
        </row>
      </sheetData>
      <sheetData sheetId="25">
        <row r="150">
          <cell r="F150">
            <v>0</v>
          </cell>
        </row>
        <row r="152">
          <cell r="F152">
            <v>0</v>
          </cell>
        </row>
        <row r="154">
          <cell r="F154">
            <v>-15</v>
          </cell>
        </row>
        <row r="156">
          <cell r="F156">
            <v>0</v>
          </cell>
        </row>
      </sheetData>
      <sheetData sheetId="27">
        <row r="150">
          <cell r="F150">
            <v>0</v>
          </cell>
        </row>
        <row r="152">
          <cell r="F152">
            <v>36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29">
        <row r="150">
          <cell r="F150">
            <v>0</v>
          </cell>
        </row>
        <row r="152">
          <cell r="F152">
            <v>0</v>
          </cell>
        </row>
        <row r="154">
          <cell r="F154">
            <v>-39</v>
          </cell>
        </row>
        <row r="156">
          <cell r="F156">
            <v>0</v>
          </cell>
        </row>
      </sheetData>
      <sheetData sheetId="31">
        <row r="150">
          <cell r="F150">
            <v>0</v>
          </cell>
        </row>
        <row r="152">
          <cell r="F152">
            <v>0</v>
          </cell>
        </row>
        <row r="154">
          <cell r="F154">
            <v>-8</v>
          </cell>
        </row>
        <row r="156">
          <cell r="F156">
            <v>0</v>
          </cell>
        </row>
      </sheetData>
      <sheetData sheetId="33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35">
        <row r="150">
          <cell r="F150">
            <v>0</v>
          </cell>
        </row>
        <row r="152">
          <cell r="F152">
            <v>0</v>
          </cell>
        </row>
        <row r="154">
          <cell r="F154">
            <v>-132</v>
          </cell>
        </row>
        <row r="156">
          <cell r="F156">
            <v>0</v>
          </cell>
        </row>
      </sheetData>
      <sheetData sheetId="39">
        <row r="150">
          <cell r="F150">
            <v>0</v>
          </cell>
        </row>
        <row r="152">
          <cell r="F152">
            <v>0</v>
          </cell>
        </row>
        <row r="154">
          <cell r="F154">
            <v>-29</v>
          </cell>
        </row>
        <row r="156">
          <cell r="F156">
            <v>0</v>
          </cell>
        </row>
      </sheetData>
      <sheetData sheetId="41">
        <row r="150">
          <cell r="F150">
            <v>0</v>
          </cell>
        </row>
        <row r="152">
          <cell r="F152">
            <v>0</v>
          </cell>
        </row>
        <row r="154">
          <cell r="F154">
            <v>-262</v>
          </cell>
        </row>
        <row r="156">
          <cell r="F156">
            <v>0</v>
          </cell>
        </row>
      </sheetData>
      <sheetData sheetId="43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4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49">
        <row r="150">
          <cell r="F150">
            <v>0</v>
          </cell>
        </row>
        <row r="152">
          <cell r="F152">
            <v>0</v>
          </cell>
        </row>
        <row r="154">
          <cell r="F154">
            <v>-67</v>
          </cell>
        </row>
        <row r="156">
          <cell r="F156">
            <v>0</v>
          </cell>
        </row>
      </sheetData>
      <sheetData sheetId="51">
        <row r="153">
          <cell r="F153">
            <v>0</v>
          </cell>
        </row>
        <row r="155">
          <cell r="F155">
            <v>0</v>
          </cell>
        </row>
        <row r="157">
          <cell r="F157">
            <v>0</v>
          </cell>
          <cell r="G157">
            <v>0</v>
          </cell>
        </row>
        <row r="159">
          <cell r="F159">
            <v>0</v>
          </cell>
        </row>
      </sheetData>
      <sheetData sheetId="5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R - Capture - 1st Round"/>
      <sheetName val="SR - Capture - 2nd Round"/>
      <sheetName val="SR - Capture - 3rd Round"/>
      <sheetName val="Summary"/>
      <sheetName val="FC 20% Budget"/>
      <sheetName val="SR - 20% Budget"/>
      <sheetName val="FC 40% Budget"/>
      <sheetName val="SR - 40% Budget"/>
      <sheetName val="FC No Agreement"/>
      <sheetName val="SR - No Agreement"/>
      <sheetName val="FC No"/>
      <sheetName val="SR - No"/>
      <sheetName val="FC - Summary Sheet"/>
      <sheetName val="Fees and Charges"/>
      <sheetName val="SR Summary Sheet"/>
      <sheetName val="SR Summary Table"/>
      <sheetName val="Service Reductions"/>
      <sheetName val="FC - Capture 1st Round"/>
      <sheetName val="FC - Capture 2nd Round"/>
      <sheetName val="FC - Capture 3rd Round"/>
      <sheetName val="FC Summary Table"/>
      <sheetName val="Fees and Charges 20% Summary"/>
      <sheetName val="Service Reductions 40% sum "/>
      <sheetName val="Service Reductions 20% sum"/>
    </sheetNames>
    <sheetDataSet>
      <sheetData sheetId="6">
        <row r="5">
          <cell r="BH5">
            <v>0</v>
          </cell>
        </row>
        <row r="6">
          <cell r="BH6">
            <v>-82</v>
          </cell>
        </row>
        <row r="7">
          <cell r="BH7">
            <v>0</v>
          </cell>
        </row>
        <row r="8">
          <cell r="BH8">
            <v>-6</v>
          </cell>
        </row>
        <row r="9">
          <cell r="BH9">
            <v>0</v>
          </cell>
        </row>
        <row r="12">
          <cell r="BH12">
            <v>-0.5</v>
          </cell>
        </row>
        <row r="13">
          <cell r="BH13">
            <v>-134.14</v>
          </cell>
        </row>
        <row r="19">
          <cell r="BH19">
            <v>0</v>
          </cell>
        </row>
        <row r="20">
          <cell r="BH20">
            <v>0</v>
          </cell>
        </row>
        <row r="21">
          <cell r="BH21">
            <v>0</v>
          </cell>
        </row>
        <row r="22">
          <cell r="BH22">
            <v>0</v>
          </cell>
        </row>
        <row r="25">
          <cell r="BH25">
            <v>0</v>
          </cell>
        </row>
        <row r="26">
          <cell r="BH26">
            <v>0</v>
          </cell>
        </row>
        <row r="27">
          <cell r="BH27">
            <v>0</v>
          </cell>
        </row>
        <row r="28">
          <cell r="BH28">
            <v>0</v>
          </cell>
        </row>
        <row r="29">
          <cell r="BH29">
            <v>0</v>
          </cell>
        </row>
        <row r="30">
          <cell r="BH30">
            <v>0</v>
          </cell>
        </row>
        <row r="31">
          <cell r="BH31">
            <v>0</v>
          </cell>
        </row>
        <row r="32">
          <cell r="BH32">
            <v>0</v>
          </cell>
        </row>
        <row r="33">
          <cell r="BH33">
            <v>0</v>
          </cell>
        </row>
        <row r="34">
          <cell r="BH34">
            <v>0</v>
          </cell>
        </row>
        <row r="35">
          <cell r="BH35">
            <v>-59</v>
          </cell>
        </row>
        <row r="36">
          <cell r="BH36">
            <v>0</v>
          </cell>
        </row>
        <row r="37">
          <cell r="BH37">
            <v>0</v>
          </cell>
        </row>
        <row r="38">
          <cell r="BH38">
            <v>0</v>
          </cell>
        </row>
        <row r="39">
          <cell r="BH39">
            <v>0</v>
          </cell>
        </row>
        <row r="40">
          <cell r="BH40">
            <v>0</v>
          </cell>
        </row>
        <row r="41">
          <cell r="BH41">
            <v>0</v>
          </cell>
        </row>
        <row r="42">
          <cell r="BH42">
            <v>0</v>
          </cell>
        </row>
        <row r="43">
          <cell r="BH43">
            <v>0</v>
          </cell>
        </row>
        <row r="44">
          <cell r="BH44">
            <v>0</v>
          </cell>
        </row>
        <row r="49">
          <cell r="BH49">
            <v>0</v>
          </cell>
        </row>
        <row r="50">
          <cell r="BH50">
            <v>0</v>
          </cell>
        </row>
        <row r="51">
          <cell r="BH51">
            <v>0</v>
          </cell>
        </row>
        <row r="52">
          <cell r="BH52">
            <v>0</v>
          </cell>
        </row>
        <row r="53">
          <cell r="BH53">
            <v>0</v>
          </cell>
        </row>
        <row r="55">
          <cell r="BH55">
            <v>0</v>
          </cell>
        </row>
        <row r="58">
          <cell r="BH58">
            <v>0</v>
          </cell>
        </row>
        <row r="59">
          <cell r="BH59">
            <v>0</v>
          </cell>
        </row>
        <row r="60">
          <cell r="BH60">
            <v>0</v>
          </cell>
        </row>
        <row r="61">
          <cell r="BH61">
            <v>0</v>
          </cell>
        </row>
        <row r="62">
          <cell r="BH62">
            <v>0</v>
          </cell>
        </row>
        <row r="63">
          <cell r="BH63">
            <v>-10</v>
          </cell>
        </row>
        <row r="64">
          <cell r="BH64">
            <v>0</v>
          </cell>
        </row>
        <row r="69">
          <cell r="BH69">
            <v>-28</v>
          </cell>
        </row>
        <row r="70">
          <cell r="BH70">
            <v>0</v>
          </cell>
        </row>
        <row r="71">
          <cell r="BH71">
            <v>-49</v>
          </cell>
        </row>
        <row r="72">
          <cell r="BH72">
            <v>0</v>
          </cell>
        </row>
        <row r="76">
          <cell r="BH76">
            <v>-149</v>
          </cell>
        </row>
        <row r="77">
          <cell r="BH77">
            <v>0</v>
          </cell>
        </row>
        <row r="78">
          <cell r="BH78">
            <v>0</v>
          </cell>
        </row>
        <row r="79">
          <cell r="BH79">
            <v>0</v>
          </cell>
        </row>
        <row r="80">
          <cell r="BH80">
            <v>0</v>
          </cell>
        </row>
        <row r="81">
          <cell r="BH81">
            <v>0</v>
          </cell>
        </row>
        <row r="82">
          <cell r="BH82">
            <v>-214</v>
          </cell>
        </row>
        <row r="85">
          <cell r="BH85">
            <v>0</v>
          </cell>
        </row>
        <row r="86">
          <cell r="BH86">
            <v>0</v>
          </cell>
        </row>
        <row r="87">
          <cell r="BH87">
            <v>0</v>
          </cell>
        </row>
        <row r="88">
          <cell r="BH88">
            <v>0</v>
          </cell>
        </row>
        <row r="89">
          <cell r="BH89">
            <v>0</v>
          </cell>
        </row>
        <row r="92">
          <cell r="BH92">
            <v>0</v>
          </cell>
        </row>
        <row r="93">
          <cell r="BH93">
            <v>0</v>
          </cell>
        </row>
        <row r="94">
          <cell r="BH94">
            <v>0</v>
          </cell>
        </row>
        <row r="95">
          <cell r="BH95">
            <v>0</v>
          </cell>
        </row>
        <row r="96">
          <cell r="BH96">
            <v>0</v>
          </cell>
        </row>
        <row r="97">
          <cell r="BH97">
            <v>-1</v>
          </cell>
        </row>
        <row r="98">
          <cell r="BH98">
            <v>0</v>
          </cell>
        </row>
        <row r="102">
          <cell r="BH102">
            <v>0</v>
          </cell>
        </row>
        <row r="103">
          <cell r="BH103">
            <v>0</v>
          </cell>
        </row>
        <row r="104">
          <cell r="BH104">
            <v>0</v>
          </cell>
        </row>
        <row r="105">
          <cell r="BH105">
            <v>0</v>
          </cell>
        </row>
        <row r="106">
          <cell r="BH106">
            <v>0</v>
          </cell>
        </row>
        <row r="110">
          <cell r="BH110">
            <v>0</v>
          </cell>
        </row>
        <row r="111">
          <cell r="BH111">
            <v>0</v>
          </cell>
        </row>
        <row r="112">
          <cell r="BH112">
            <v>-25</v>
          </cell>
        </row>
        <row r="113">
          <cell r="BH113">
            <v>0</v>
          </cell>
        </row>
        <row r="114">
          <cell r="BH114">
            <v>0</v>
          </cell>
        </row>
        <row r="115">
          <cell r="BH115">
            <v>0</v>
          </cell>
        </row>
      </sheetData>
      <sheetData sheetId="7">
        <row r="5">
          <cell r="BI5">
            <v>0</v>
          </cell>
        </row>
        <row r="6">
          <cell r="BI6">
            <v>-57</v>
          </cell>
        </row>
        <row r="7">
          <cell r="BI7">
            <v>-25</v>
          </cell>
        </row>
        <row r="8">
          <cell r="BI8">
            <v>0</v>
          </cell>
        </row>
        <row r="9">
          <cell r="BI9">
            <v>-72</v>
          </cell>
        </row>
        <row r="12">
          <cell r="BI12">
            <v>-64.7</v>
          </cell>
        </row>
        <row r="13">
          <cell r="BI13">
            <v>0</v>
          </cell>
        </row>
        <row r="19">
          <cell r="BI19">
            <v>-8.5</v>
          </cell>
        </row>
        <row r="21">
          <cell r="BI21">
            <v>0</v>
          </cell>
        </row>
        <row r="30">
          <cell r="BI30">
            <v>-103</v>
          </cell>
        </row>
        <row r="31">
          <cell r="BI31">
            <v>0</v>
          </cell>
        </row>
        <row r="32">
          <cell r="BI32">
            <v>-7</v>
          </cell>
        </row>
        <row r="33">
          <cell r="BI33">
            <v>0</v>
          </cell>
        </row>
        <row r="34">
          <cell r="BI34">
            <v>-80</v>
          </cell>
        </row>
        <row r="35">
          <cell r="BI35">
            <v>0</v>
          </cell>
        </row>
        <row r="36">
          <cell r="BI36">
            <v>0</v>
          </cell>
        </row>
        <row r="37">
          <cell r="BI37">
            <v>0</v>
          </cell>
        </row>
        <row r="38">
          <cell r="BI38">
            <v>-54</v>
          </cell>
        </row>
        <row r="39">
          <cell r="BI39">
            <v>0</v>
          </cell>
        </row>
        <row r="40">
          <cell r="BI40">
            <v>0</v>
          </cell>
        </row>
        <row r="41">
          <cell r="BI41">
            <v>-61.5</v>
          </cell>
        </row>
        <row r="42">
          <cell r="BI42">
            <v>0</v>
          </cell>
        </row>
        <row r="43">
          <cell r="BI43">
            <v>0</v>
          </cell>
        </row>
        <row r="44">
          <cell r="BI44">
            <v>0</v>
          </cell>
        </row>
        <row r="45">
          <cell r="BI45">
            <v>0</v>
          </cell>
        </row>
        <row r="46">
          <cell r="BI46">
            <v>-13</v>
          </cell>
        </row>
        <row r="47">
          <cell r="BI47">
            <v>0</v>
          </cell>
        </row>
        <row r="48">
          <cell r="BI48">
            <v>0</v>
          </cell>
        </row>
        <row r="49">
          <cell r="BI49">
            <v>-117</v>
          </cell>
        </row>
        <row r="54">
          <cell r="BI54">
            <v>0</v>
          </cell>
        </row>
        <row r="55">
          <cell r="BI55">
            <v>0</v>
          </cell>
        </row>
        <row r="56">
          <cell r="BI56">
            <v>0</v>
          </cell>
        </row>
        <row r="57">
          <cell r="BI57">
            <v>-49.2</v>
          </cell>
        </row>
        <row r="58">
          <cell r="BI58">
            <v>0</v>
          </cell>
        </row>
        <row r="60">
          <cell r="BI60">
            <v>0</v>
          </cell>
        </row>
        <row r="63">
          <cell r="BI63">
            <v>0</v>
          </cell>
        </row>
        <row r="64">
          <cell r="BI64">
            <v>0</v>
          </cell>
        </row>
        <row r="65">
          <cell r="BI65">
            <v>0</v>
          </cell>
        </row>
        <row r="66">
          <cell r="BI66">
            <v>0</v>
          </cell>
        </row>
        <row r="67">
          <cell r="BI67">
            <v>0</v>
          </cell>
        </row>
        <row r="68">
          <cell r="BI68">
            <v>0</v>
          </cell>
        </row>
        <row r="75">
          <cell r="BI75">
            <v>-26.3</v>
          </cell>
        </row>
        <row r="76">
          <cell r="BI76">
            <v>-84</v>
          </cell>
        </row>
        <row r="77">
          <cell r="BI77">
            <v>0</v>
          </cell>
        </row>
        <row r="78">
          <cell r="BI78">
            <v>0</v>
          </cell>
        </row>
        <row r="85">
          <cell r="BI85">
            <v>0</v>
          </cell>
        </row>
        <row r="86">
          <cell r="BI86">
            <v>0</v>
          </cell>
        </row>
        <row r="87">
          <cell r="BI87">
            <v>0</v>
          </cell>
        </row>
        <row r="88">
          <cell r="BI88">
            <v>0</v>
          </cell>
        </row>
        <row r="89">
          <cell r="BI89">
            <v>0</v>
          </cell>
        </row>
        <row r="90">
          <cell r="BI90">
            <v>0</v>
          </cell>
        </row>
        <row r="91">
          <cell r="BI91">
            <v>0</v>
          </cell>
        </row>
        <row r="94">
          <cell r="BI94">
            <v>0</v>
          </cell>
        </row>
        <row r="95">
          <cell r="BI95">
            <v>0</v>
          </cell>
        </row>
        <row r="108">
          <cell r="BI108">
            <v>14.200000000000003</v>
          </cell>
        </row>
        <row r="109">
          <cell r="BI109">
            <v>-11</v>
          </cell>
        </row>
        <row r="110">
          <cell r="BI110">
            <v>0</v>
          </cell>
        </row>
        <row r="111">
          <cell r="BI111">
            <v>-10</v>
          </cell>
        </row>
        <row r="113">
          <cell r="BI113">
            <v>0</v>
          </cell>
        </row>
        <row r="114">
          <cell r="BI114">
            <v>-5</v>
          </cell>
        </row>
        <row r="119">
          <cell r="BI119">
            <v>0</v>
          </cell>
        </row>
        <row r="120">
          <cell r="BI120">
            <v>0</v>
          </cell>
        </row>
        <row r="121">
          <cell r="BI121">
            <v>0</v>
          </cell>
        </row>
        <row r="122">
          <cell r="BI122">
            <v>0</v>
          </cell>
        </row>
        <row r="123">
          <cell r="BI123">
            <v>0</v>
          </cell>
        </row>
        <row r="127">
          <cell r="BI127">
            <v>-72.1</v>
          </cell>
        </row>
        <row r="128">
          <cell r="BI128">
            <v>0</v>
          </cell>
        </row>
        <row r="129">
          <cell r="BI129">
            <v>-25</v>
          </cell>
        </row>
        <row r="130">
          <cell r="BI130">
            <v>0</v>
          </cell>
        </row>
        <row r="131">
          <cell r="BI131">
            <v>-14</v>
          </cell>
        </row>
        <row r="132">
          <cell r="BI132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14A Commercial Property"/>
      <sheetName val="S14B Ramsey House"/>
      <sheetName val="S14C Property Maintainance"/>
      <sheetName val="S14D Support Services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2">
        <row r="15">
          <cell r="D15">
            <v>-6256.623</v>
          </cell>
          <cell r="E15">
            <v>0</v>
          </cell>
          <cell r="F15">
            <v>7</v>
          </cell>
          <cell r="G15">
            <v>-28</v>
          </cell>
          <cell r="H15">
            <v>0</v>
          </cell>
          <cell r="I15">
            <v>-50</v>
          </cell>
          <cell r="J15">
            <v>0</v>
          </cell>
        </row>
        <row r="16">
          <cell r="D16">
            <v>1118.552</v>
          </cell>
          <cell r="E16">
            <v>0</v>
          </cell>
          <cell r="F16">
            <v>0</v>
          </cell>
          <cell r="G16">
            <v>-242.1</v>
          </cell>
          <cell r="H16">
            <v>0</v>
          </cell>
          <cell r="I16">
            <v>0</v>
          </cell>
          <cell r="J16">
            <v>0</v>
          </cell>
        </row>
        <row r="17">
          <cell r="D17">
            <v>180.982</v>
          </cell>
          <cell r="E17">
            <v>0</v>
          </cell>
          <cell r="F17">
            <v>0</v>
          </cell>
          <cell r="G17">
            <v>-5</v>
          </cell>
          <cell r="H17">
            <v>0</v>
          </cell>
          <cell r="I17">
            <v>0</v>
          </cell>
          <cell r="J17">
            <v>0</v>
          </cell>
        </row>
        <row r="18">
          <cell r="D18">
            <v>1896.922</v>
          </cell>
          <cell r="E18">
            <v>0</v>
          </cell>
          <cell r="F18">
            <v>0</v>
          </cell>
          <cell r="G18">
            <v>-145</v>
          </cell>
          <cell r="H18">
            <v>0</v>
          </cell>
          <cell r="I18">
            <v>0</v>
          </cell>
          <cell r="J18">
            <v>0</v>
          </cell>
        </row>
      </sheetData>
      <sheetData sheetId="13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-77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-3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-105</v>
          </cell>
          <cell r="F18">
            <v>0</v>
          </cell>
          <cell r="G18">
            <v>0</v>
          </cell>
          <cell r="H18">
            <v>0</v>
          </cell>
        </row>
      </sheetData>
      <sheetData sheetId="14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-12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-2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-93</v>
          </cell>
          <cell r="F18">
            <v>0</v>
          </cell>
          <cell r="G18">
            <v>0</v>
          </cell>
          <cell r="H18">
            <v>0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-200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-30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-73</v>
          </cell>
          <cell r="F18">
            <v>0</v>
          </cell>
          <cell r="G18">
            <v>0</v>
          </cell>
          <cell r="H18">
            <v>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HoS Comments"/>
      <sheetName val="S13A Area Committees"/>
      <sheetName val="S13B Communities and Neighbour"/>
      <sheetName val="S13C Grants and Commissioning"/>
      <sheetName val="S13D Housing Strategy"/>
      <sheetName val="S13G Safter Strat and Ops"/>
      <sheetName val="S13H Elderly Services"/>
      <sheetName val="S13J Community Safety"/>
      <sheetName val="S13K Housing Needs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7">
        <row r="15">
          <cell r="D15">
            <v>71.947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D16">
            <v>1010.965</v>
          </cell>
          <cell r="E16">
            <v>0</v>
          </cell>
          <cell r="F16">
            <v>0</v>
          </cell>
          <cell r="G16">
            <v>-20</v>
          </cell>
          <cell r="H16">
            <v>0</v>
          </cell>
          <cell r="I16">
            <v>0</v>
          </cell>
          <cell r="J16">
            <v>0</v>
          </cell>
        </row>
        <row r="17">
          <cell r="D17">
            <v>1403.759</v>
          </cell>
          <cell r="E17">
            <v>0</v>
          </cell>
          <cell r="F17">
            <v>15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D18">
            <v>577.365</v>
          </cell>
          <cell r="E18">
            <v>0</v>
          </cell>
          <cell r="F18">
            <v>0</v>
          </cell>
          <cell r="G18">
            <v>-51</v>
          </cell>
          <cell r="H18">
            <v>0</v>
          </cell>
          <cell r="I18">
            <v>0</v>
          </cell>
          <cell r="J18">
            <v>0</v>
          </cell>
        </row>
        <row r="19">
          <cell r="D19">
            <v>1176.251</v>
          </cell>
          <cell r="E19">
            <v>0</v>
          </cell>
          <cell r="F19">
            <v>0</v>
          </cell>
          <cell r="G19">
            <v>-80</v>
          </cell>
          <cell r="H19">
            <v>0</v>
          </cell>
          <cell r="I19">
            <v>0</v>
          </cell>
          <cell r="J19">
            <v>-16</v>
          </cell>
        </row>
        <row r="20">
          <cell r="D20">
            <v>2843.896</v>
          </cell>
          <cell r="E20">
            <v>0</v>
          </cell>
          <cell r="F20">
            <v>0</v>
          </cell>
          <cell r="G20">
            <v>-41</v>
          </cell>
          <cell r="H20">
            <v>0</v>
          </cell>
          <cell r="I20">
            <v>0</v>
          </cell>
          <cell r="J20">
            <v>0</v>
          </cell>
        </row>
      </sheetData>
      <sheetData sheetId="18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-20</v>
          </cell>
          <cell r="F16">
            <v>0</v>
          </cell>
          <cell r="G16">
            <v>0</v>
          </cell>
          <cell r="H16">
            <v>-24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-16</v>
          </cell>
        </row>
        <row r="20">
          <cell r="C20">
            <v>0</v>
          </cell>
          <cell r="D20">
            <v>0</v>
          </cell>
          <cell r="E20">
            <v>-113</v>
          </cell>
          <cell r="F20">
            <v>0</v>
          </cell>
          <cell r="G20">
            <v>0</v>
          </cell>
          <cell r="H20">
            <v>0</v>
          </cell>
        </row>
      </sheetData>
      <sheetData sheetId="19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-20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-43</v>
          </cell>
        </row>
        <row r="20">
          <cell r="C20">
            <v>0</v>
          </cell>
          <cell r="D20">
            <v>0</v>
          </cell>
          <cell r="E20">
            <v>-46</v>
          </cell>
          <cell r="F20">
            <v>0</v>
          </cell>
          <cell r="G20">
            <v>0</v>
          </cell>
          <cell r="H20">
            <v>0</v>
          </cell>
        </row>
      </sheetData>
      <sheetData sheetId="20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-19.487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  <sheetData sheetId="21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-2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-50</v>
          </cell>
        </row>
        <row r="20">
          <cell r="C20">
            <v>0</v>
          </cell>
          <cell r="D20">
            <v>0</v>
          </cell>
          <cell r="E20">
            <v>-18.299</v>
          </cell>
          <cell r="F20">
            <v>0</v>
          </cell>
          <cell r="G20">
            <v>0</v>
          </cell>
          <cell r="H20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- City Dev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11A Cultural Development"/>
      <sheetName val="S11B Development"/>
      <sheetName val="S11C Support Services"/>
      <sheetName val="S11D Information Services"/>
      <sheetName val="S11E Spatial Development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3">
        <row r="15">
          <cell r="D15">
            <v>60.425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-16</v>
          </cell>
        </row>
        <row r="16">
          <cell r="D16">
            <v>74.37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-46</v>
          </cell>
          <cell r="J16">
            <v>0</v>
          </cell>
        </row>
        <row r="17">
          <cell r="D17">
            <v>392.503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D18">
            <v>-39.279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-15</v>
          </cell>
          <cell r="J18">
            <v>0</v>
          </cell>
        </row>
        <row r="19">
          <cell r="D19">
            <v>600.88</v>
          </cell>
          <cell r="E19">
            <v>0</v>
          </cell>
          <cell r="F19">
            <v>95</v>
          </cell>
          <cell r="G19">
            <v>-5</v>
          </cell>
          <cell r="H19">
            <v>-10</v>
          </cell>
          <cell r="I19">
            <v>-130</v>
          </cell>
          <cell r="J19">
            <v>0</v>
          </cell>
        </row>
      </sheetData>
      <sheetData sheetId="14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-14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-20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-15</v>
          </cell>
          <cell r="H18">
            <v>0</v>
          </cell>
        </row>
        <row r="19">
          <cell r="C19">
            <v>0</v>
          </cell>
          <cell r="D19">
            <v>40</v>
          </cell>
          <cell r="E19">
            <v>-5</v>
          </cell>
          <cell r="F19">
            <v>0</v>
          </cell>
          <cell r="G19">
            <v>-55</v>
          </cell>
          <cell r="H19">
            <v>-52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-13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-20</v>
          </cell>
          <cell r="F19">
            <v>0</v>
          </cell>
          <cell r="G19">
            <v>95</v>
          </cell>
          <cell r="H19">
            <v>-100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-11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-5.537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75</v>
          </cell>
          <cell r="H19">
            <v>-75</v>
          </cell>
        </row>
      </sheetData>
      <sheetData sheetId="17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-10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-6.207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-Enviroment Dev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12A Enviromental Control"/>
      <sheetName val="S12B Env Sustainability"/>
      <sheetName val="S12C Health Development"/>
      <sheetName val="S12D Licensing &amp; Development"/>
      <sheetName val="S12E General Management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3">
        <row r="15">
          <cell r="D15">
            <v>635.76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-10</v>
          </cell>
          <cell r="J15">
            <v>-66</v>
          </cell>
        </row>
        <row r="16">
          <cell r="D16">
            <v>460.772</v>
          </cell>
          <cell r="E16">
            <v>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-32</v>
          </cell>
        </row>
        <row r="17">
          <cell r="D17">
            <v>714.838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D18">
            <v>-220.604</v>
          </cell>
          <cell r="E18">
            <v>0</v>
          </cell>
          <cell r="F18">
            <v>0</v>
          </cell>
          <cell r="G18">
            <v>0</v>
          </cell>
          <cell r="H18">
            <v>-204</v>
          </cell>
          <cell r="I18">
            <v>0</v>
          </cell>
          <cell r="J18">
            <v>0</v>
          </cell>
        </row>
        <row r="19">
          <cell r="D19">
            <v>132.214</v>
          </cell>
          <cell r="E19">
            <v>0</v>
          </cell>
          <cell r="F19">
            <v>0</v>
          </cell>
          <cell r="G19">
            <v>-12</v>
          </cell>
          <cell r="H19">
            <v>0</v>
          </cell>
          <cell r="I19">
            <v>0</v>
          </cell>
          <cell r="J19">
            <v>0</v>
          </cell>
        </row>
      </sheetData>
      <sheetData sheetId="14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-54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-14.7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-73</v>
          </cell>
          <cell r="G18">
            <v>-35.375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-54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-20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17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-30</v>
          </cell>
          <cell r="F19">
            <v>0</v>
          </cell>
          <cell r="G19">
            <v>0</v>
          </cell>
          <cell r="H19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03A Strategic Procurement"/>
      <sheetName val="S03BShared Back Office Services"/>
      <sheetName val="S03C Transformation Projects"/>
      <sheetName val="S03D Performance"/>
      <sheetName val="S03E Business Improvement"/>
      <sheetName val="Summary- DEF"/>
      <sheetName val="Detail- DEF"/>
      <sheetName val="Corporate Finance"/>
      <sheetName val="Appendix2 1213 Feeder"/>
      <sheetName val="Appendix2 1314 Feeder"/>
      <sheetName val="Appendix2 1415 Feeder"/>
      <sheetName val="Appendix2 1516 Feeder"/>
      <sheetName val="Appendix2 1617 Feeder"/>
      <sheetName val="Sheet1"/>
    </sheetNames>
    <sheetDataSet>
      <sheetData sheetId="16">
        <row r="15">
          <cell r="C15">
            <v>228.583</v>
          </cell>
          <cell r="D15">
            <v>0</v>
          </cell>
          <cell r="E15">
            <v>10</v>
          </cell>
          <cell r="F15">
            <v>-46</v>
          </cell>
          <cell r="G15">
            <v>0</v>
          </cell>
          <cell r="H15">
            <v>0</v>
          </cell>
          <cell r="I15">
            <v>0</v>
          </cell>
        </row>
        <row r="16">
          <cell r="C16">
            <v>-67.002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C17">
            <v>1695.609</v>
          </cell>
          <cell r="D17">
            <v>0</v>
          </cell>
          <cell r="E17">
            <v>0</v>
          </cell>
          <cell r="F17">
            <v>-50</v>
          </cell>
          <cell r="G17">
            <v>0</v>
          </cell>
          <cell r="H17">
            <v>0</v>
          </cell>
          <cell r="I17">
            <v>0</v>
          </cell>
        </row>
        <row r="18">
          <cell r="C18">
            <v>91.179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C19">
            <v>222.441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</sheetData>
      <sheetData sheetId="17">
        <row r="15">
          <cell r="C15">
            <v>0</v>
          </cell>
          <cell r="D15">
            <v>10</v>
          </cell>
          <cell r="E15">
            <v>-46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18">
        <row r="15">
          <cell r="C15">
            <v>0</v>
          </cell>
          <cell r="D15">
            <v>10</v>
          </cell>
          <cell r="E15">
            <v>-36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19">
        <row r="15">
          <cell r="C15">
            <v>0</v>
          </cell>
          <cell r="D15">
            <v>0</v>
          </cell>
          <cell r="E15">
            <v>-20</v>
          </cell>
          <cell r="F15">
            <v>0</v>
          </cell>
          <cell r="G15">
            <v>0</v>
          </cell>
          <cell r="H15">
            <v>-28.9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20">
        <row r="15">
          <cell r="C15">
            <v>0</v>
          </cell>
          <cell r="D15">
            <v>0</v>
          </cell>
          <cell r="E15">
            <v>-10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City Works Title Sheet"/>
      <sheetName val="Blank"/>
      <sheetName val="City Works Title Sheet (2)"/>
      <sheetName val="Summary- Car Parks"/>
      <sheetName val="Detail- Car Parks"/>
      <sheetName val="Summary- W&amp;R"/>
      <sheetName val="Detail- W&amp;R"/>
      <sheetName val="Summary- Streets"/>
      <sheetName val="Detail- Streets"/>
      <sheetName val="Summary- Street Scene OCH"/>
      <sheetName val="Detail- Street Scene OCH"/>
      <sheetName val="TS10-11 (2009-10)"/>
      <sheetName val="TS10-11 (2010-11)"/>
      <sheetName val="TS10-11 (2011-12)"/>
      <sheetName val="TS10 Staff Data"/>
      <sheetName val="TS11 Staff Data"/>
      <sheetName val="ACDS Notes (2)"/>
      <sheetName val="Balance 10-11 onwards"/>
      <sheetName val="Summary-Engineering"/>
      <sheetName val="Revised 10-11 Changes"/>
      <sheetName val="Detail- Engineering"/>
      <sheetName val="Engineering 2010-11"/>
      <sheetName val="Engineering 2011-12"/>
      <sheetName val="S42 Allocation 09-10"/>
      <sheetName val="Salary Data Engineering"/>
      <sheetName val="Summary- Markets"/>
      <sheetName val="Detail- Markets"/>
      <sheetName val="Summary- Pub Convs"/>
      <sheetName val="Detail- Pub Convs"/>
      <sheetName val="Summary- MT"/>
      <sheetName val="Detail- MT"/>
      <sheetName val="Summary- M&amp;A"/>
      <sheetName val="Detail- M&amp;A"/>
      <sheetName val="City Works Savings Sheet"/>
      <sheetName val="Corporate Finance"/>
    </sheetNames>
    <sheetDataSet>
      <sheetData sheetId="11">
        <row r="150">
          <cell r="F150">
            <v>0</v>
          </cell>
        </row>
        <row r="152">
          <cell r="F152">
            <v>220</v>
          </cell>
        </row>
        <row r="154">
          <cell r="F154">
            <v>-35</v>
          </cell>
        </row>
        <row r="156">
          <cell r="F156">
            <v>0</v>
          </cell>
        </row>
      </sheetData>
      <sheetData sheetId="13">
        <row r="151">
          <cell r="F151">
            <v>0</v>
          </cell>
        </row>
        <row r="153">
          <cell r="F153">
            <v>130</v>
          </cell>
        </row>
        <row r="155">
          <cell r="F155">
            <v>-595</v>
          </cell>
        </row>
        <row r="157">
          <cell r="F157">
            <v>0</v>
          </cell>
        </row>
      </sheetData>
      <sheetData sheetId="1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7">
        <row r="154">
          <cell r="F154">
            <v>0</v>
          </cell>
        </row>
        <row r="156">
          <cell r="F156">
            <v>0</v>
          </cell>
        </row>
        <row r="158">
          <cell r="F158">
            <v>-50</v>
          </cell>
        </row>
        <row r="160">
          <cell r="F160">
            <v>0</v>
          </cell>
        </row>
      </sheetData>
      <sheetData sheetId="26">
        <row r="158">
          <cell r="F158">
            <v>0</v>
          </cell>
        </row>
        <row r="160">
          <cell r="F160">
            <v>0</v>
          </cell>
        </row>
        <row r="162">
          <cell r="F162">
            <v>0</v>
          </cell>
        </row>
        <row r="164">
          <cell r="F164">
            <v>0</v>
          </cell>
        </row>
      </sheetData>
      <sheetData sheetId="33">
        <row r="151">
          <cell r="F151">
            <v>0</v>
          </cell>
        </row>
        <row r="153">
          <cell r="F153">
            <v>0</v>
          </cell>
        </row>
        <row r="155">
          <cell r="F155">
            <v>0</v>
          </cell>
        </row>
        <row r="157">
          <cell r="F157">
            <v>0</v>
          </cell>
        </row>
      </sheetData>
      <sheetData sheetId="3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37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  <row r="158">
          <cell r="F158">
            <v>0</v>
          </cell>
        </row>
        <row r="160">
          <cell r="F160">
            <v>0</v>
          </cell>
        </row>
      </sheetData>
      <sheetData sheetId="39">
        <row r="151">
          <cell r="F151">
            <v>0</v>
          </cell>
        </row>
        <row r="153">
          <cell r="F153">
            <v>0</v>
          </cell>
        </row>
        <row r="155">
          <cell r="F155">
            <v>0</v>
          </cell>
        </row>
        <row r="159">
          <cell r="F159">
            <v>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31A Core Systems"/>
      <sheetName val="S31B Dept Running Costs"/>
      <sheetName val="S31D Telephony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1">
        <row r="15">
          <cell r="C15">
            <v>116.384</v>
          </cell>
          <cell r="D15">
            <v>0</v>
          </cell>
          <cell r="E15">
            <v>17</v>
          </cell>
          <cell r="F15">
            <v>-10.253</v>
          </cell>
          <cell r="G15">
            <v>0</v>
          </cell>
          <cell r="H15">
            <v>0</v>
          </cell>
          <cell r="I15">
            <v>0</v>
          </cell>
        </row>
        <row r="16">
          <cell r="C16">
            <v>2622.738</v>
          </cell>
          <cell r="D16">
            <v>98.12181699999998</v>
          </cell>
          <cell r="E16">
            <v>90.4</v>
          </cell>
          <cell r="F16">
            <v>-19</v>
          </cell>
          <cell r="G16">
            <v>0</v>
          </cell>
          <cell r="H16">
            <v>0</v>
          </cell>
          <cell r="I16">
            <v>0</v>
          </cell>
        </row>
        <row r="17">
          <cell r="C17">
            <v>109.478</v>
          </cell>
          <cell r="D17">
            <v>0</v>
          </cell>
          <cell r="E17">
            <v>0</v>
          </cell>
          <cell r="F17">
            <v>-5</v>
          </cell>
          <cell r="G17">
            <v>0</v>
          </cell>
          <cell r="H17">
            <v>0</v>
          </cell>
          <cell r="I17">
            <v>0</v>
          </cell>
        </row>
      </sheetData>
      <sheetData sheetId="12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100.66790785000002</v>
          </cell>
          <cell r="D16">
            <v>60</v>
          </cell>
          <cell r="E16">
            <v>-13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-5</v>
          </cell>
          <cell r="F17">
            <v>0</v>
          </cell>
          <cell r="G17">
            <v>0</v>
          </cell>
          <cell r="H17">
            <v>0</v>
          </cell>
        </row>
      </sheetData>
      <sheetData sheetId="13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104.40130324250018</v>
          </cell>
          <cell r="D16">
            <v>0</v>
          </cell>
          <cell r="E16">
            <v>-13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-2</v>
          </cell>
          <cell r="F17">
            <v>0</v>
          </cell>
          <cell r="G17">
            <v>0</v>
          </cell>
          <cell r="H17">
            <v>0</v>
          </cell>
        </row>
      </sheetData>
      <sheetData sheetId="14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-200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CD41 Customer Contact"/>
      <sheetName val="CD42 Coucil Tax"/>
      <sheetName val="CD43 Housing Benefit"/>
      <sheetName val="CD44 Income and NNDR"/>
      <sheetName val="CD80 Replacement Server"/>
      <sheetName val="DA15 Scanning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4">
        <row r="15">
          <cell r="C15">
            <v>2120.136</v>
          </cell>
          <cell r="D15">
            <v>0</v>
          </cell>
          <cell r="E15">
            <v>0</v>
          </cell>
          <cell r="F15">
            <v>-44.243</v>
          </cell>
          <cell r="G15">
            <v>35</v>
          </cell>
          <cell r="H15">
            <v>0</v>
          </cell>
          <cell r="I15">
            <v>0</v>
          </cell>
        </row>
        <row r="16">
          <cell r="C16">
            <v>362.093</v>
          </cell>
          <cell r="D16">
            <v>0</v>
          </cell>
          <cell r="E16">
            <v>0</v>
          </cell>
          <cell r="F16">
            <v>-133.371</v>
          </cell>
          <cell r="G16">
            <v>0</v>
          </cell>
          <cell r="H16">
            <v>0</v>
          </cell>
          <cell r="I16">
            <v>0</v>
          </cell>
        </row>
        <row r="17">
          <cell r="C17">
            <v>583.619</v>
          </cell>
          <cell r="D17">
            <v>0</v>
          </cell>
          <cell r="E17">
            <v>0</v>
          </cell>
          <cell r="F17">
            <v>-69.4</v>
          </cell>
          <cell r="G17">
            <v>58</v>
          </cell>
          <cell r="H17">
            <v>0</v>
          </cell>
          <cell r="I17">
            <v>0</v>
          </cell>
        </row>
        <row r="18">
          <cell r="C18">
            <v>7.176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</sheetData>
      <sheetData sheetId="15">
        <row r="15">
          <cell r="C15">
            <v>0</v>
          </cell>
          <cell r="D15">
            <v>-40</v>
          </cell>
          <cell r="E15">
            <v>-81</v>
          </cell>
          <cell r="F15">
            <v>-30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-13</v>
          </cell>
          <cell r="H16">
            <v>0</v>
          </cell>
        </row>
        <row r="17">
          <cell r="C17">
            <v>0</v>
          </cell>
          <cell r="D17">
            <v>25</v>
          </cell>
          <cell r="E17">
            <v>0</v>
          </cell>
          <cell r="F17">
            <v>-58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-14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  <sheetData sheetId="17">
        <row r="15">
          <cell r="C15">
            <v>0</v>
          </cell>
          <cell r="D15">
            <v>0</v>
          </cell>
          <cell r="E15">
            <v>-65.528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-25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  <sheetData sheetId="18">
        <row r="15">
          <cell r="C15">
            <v>0</v>
          </cell>
          <cell r="D15">
            <v>0</v>
          </cell>
          <cell r="E15">
            <v>-65.528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33A Employee Services"/>
      <sheetName val="S33B Health and Safety"/>
      <sheetName val="S33C Job Evaluation"/>
      <sheetName val="S33D L and D"/>
      <sheetName val="S33E Payroll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3">
        <row r="15">
          <cell r="D15">
            <v>647.108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D16">
            <v>40.014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D18">
            <v>585.225</v>
          </cell>
          <cell r="E18">
            <v>0</v>
          </cell>
          <cell r="F18">
            <v>0</v>
          </cell>
          <cell r="G18">
            <v>-21</v>
          </cell>
          <cell r="H18">
            <v>0</v>
          </cell>
          <cell r="I18">
            <v>0</v>
          </cell>
          <cell r="J18">
            <v>0</v>
          </cell>
        </row>
        <row r="19">
          <cell r="D19">
            <v>72.616</v>
          </cell>
          <cell r="E19">
            <v>0</v>
          </cell>
          <cell r="F19">
            <v>0</v>
          </cell>
          <cell r="G19">
            <v>-40</v>
          </cell>
          <cell r="H19">
            <v>0</v>
          </cell>
          <cell r="I19">
            <v>0</v>
          </cell>
          <cell r="J19">
            <v>0</v>
          </cell>
        </row>
      </sheetData>
      <sheetData sheetId="14">
        <row r="15">
          <cell r="C15">
            <v>0</v>
          </cell>
          <cell r="D15">
            <v>0</v>
          </cell>
          <cell r="E15">
            <v>-6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-26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-20</v>
          </cell>
          <cell r="H19">
            <v>0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-20</v>
          </cell>
          <cell r="H19">
            <v>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-18.463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17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-17.974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summary mtfs revised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32A Accountancy"/>
      <sheetName val="S32B Internal Audit"/>
      <sheetName val="S23C Concessionary Fares"/>
      <sheetName val="S32D Corporate Finance"/>
      <sheetName val="S32E Investigations"/>
      <sheetName val="A32F Revenues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5">
        <row r="15">
          <cell r="D15">
            <v>1490.228</v>
          </cell>
          <cell r="E15">
            <v>0</v>
          </cell>
          <cell r="F15">
            <v>0</v>
          </cell>
          <cell r="G15">
            <v>-107</v>
          </cell>
          <cell r="H15">
            <v>-100</v>
          </cell>
          <cell r="I15">
            <v>0</v>
          </cell>
          <cell r="J15">
            <v>0</v>
          </cell>
        </row>
        <row r="16">
          <cell r="D16">
            <v>149.801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-72</v>
          </cell>
        </row>
        <row r="17">
          <cell r="D17">
            <v>66.025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D18">
            <v>411.589</v>
          </cell>
          <cell r="E18">
            <v>0</v>
          </cell>
          <cell r="F18">
            <v>0</v>
          </cell>
          <cell r="G18">
            <v>-18.2</v>
          </cell>
          <cell r="H18">
            <v>0</v>
          </cell>
          <cell r="I18">
            <v>0</v>
          </cell>
          <cell r="J18">
            <v>0</v>
          </cell>
        </row>
        <row r="19">
          <cell r="D19">
            <v>165.683</v>
          </cell>
          <cell r="E19">
            <v>0</v>
          </cell>
          <cell r="F19">
            <v>0</v>
          </cell>
          <cell r="G19">
            <v>-100</v>
          </cell>
          <cell r="H19">
            <v>0</v>
          </cell>
          <cell r="I19">
            <v>0</v>
          </cell>
          <cell r="J19">
            <v>0</v>
          </cell>
        </row>
        <row r="20">
          <cell r="D20">
            <v>378.795</v>
          </cell>
          <cell r="E20">
            <v>0</v>
          </cell>
          <cell r="F20">
            <v>0</v>
          </cell>
          <cell r="G20">
            <v>0</v>
          </cell>
          <cell r="H20">
            <v>-70</v>
          </cell>
          <cell r="I20">
            <v>0</v>
          </cell>
          <cell r="J20">
            <v>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-20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-86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-25</v>
          </cell>
          <cell r="F20">
            <v>0</v>
          </cell>
          <cell r="G20">
            <v>0</v>
          </cell>
          <cell r="H20">
            <v>0</v>
          </cell>
        </row>
      </sheetData>
      <sheetData sheetId="17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-4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-30</v>
          </cell>
          <cell r="F20">
            <v>0</v>
          </cell>
          <cell r="G20">
            <v>0</v>
          </cell>
          <cell r="H20">
            <v>0</v>
          </cell>
        </row>
      </sheetData>
      <sheetData sheetId="18">
        <row r="15">
          <cell r="C15">
            <v>0</v>
          </cell>
          <cell r="D15">
            <v>0</v>
          </cell>
          <cell r="E15">
            <v>-40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  <sheetData sheetId="19">
        <row r="15">
          <cell r="C15">
            <v>0</v>
          </cell>
          <cell r="D15">
            <v>0</v>
          </cell>
          <cell r="E15">
            <v>-40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-PCC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01A Town Hall &amp; Museum"/>
      <sheetName val="S01B Communications"/>
      <sheetName val="S01C Culture"/>
      <sheetName val="S01D Policy &amp; Partnerships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2">
        <row r="15">
          <cell r="D15">
            <v>0</v>
          </cell>
          <cell r="E15">
            <v>-50</v>
          </cell>
          <cell r="F15">
            <v>-6</v>
          </cell>
          <cell r="G15">
            <v>-160</v>
          </cell>
          <cell r="H15">
            <v>-34</v>
          </cell>
          <cell r="I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-0.5</v>
          </cell>
          <cell r="I16">
            <v>0</v>
          </cell>
        </row>
        <row r="17">
          <cell r="D17">
            <v>0</v>
          </cell>
          <cell r="E17">
            <v>102</v>
          </cell>
          <cell r="F17">
            <v>0</v>
          </cell>
          <cell r="G17">
            <v>30</v>
          </cell>
          <cell r="H17">
            <v>-12</v>
          </cell>
          <cell r="I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</sheetData>
      <sheetData sheetId="13">
        <row r="15">
          <cell r="C15">
            <v>0</v>
          </cell>
          <cell r="D15">
            <v>24.2</v>
          </cell>
          <cell r="E15">
            <v>-1.5</v>
          </cell>
          <cell r="F15">
            <v>0</v>
          </cell>
          <cell r="G15">
            <v>-61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-22.5</v>
          </cell>
          <cell r="H16">
            <v>0</v>
          </cell>
        </row>
        <row r="17">
          <cell r="C17">
            <v>0</v>
          </cell>
          <cell r="D17">
            <v>-102</v>
          </cell>
          <cell r="E17">
            <v>0</v>
          </cell>
          <cell r="F17">
            <v>-30</v>
          </cell>
          <cell r="G17">
            <v>-17.5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  <sheetData sheetId="14">
        <row r="15">
          <cell r="C15">
            <v>0</v>
          </cell>
          <cell r="D15">
            <v>0</v>
          </cell>
          <cell r="E15">
            <v>-1.5</v>
          </cell>
          <cell r="F15">
            <v>0</v>
          </cell>
          <cell r="G15">
            <v>-16.8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-8.5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-14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-21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-12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-6.5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-17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-17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-5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-6.5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23A Building Services"/>
      <sheetName val="S23B Building Responsive Ops"/>
      <sheetName val="S23C Off Street Parking"/>
      <sheetName val="S23D Wate And Recycling Dom"/>
      <sheetName val="S23E Waste and Recycling Trade"/>
      <sheetName val="S23F Engineering"/>
      <sheetName val="S23G Street Scenes"/>
      <sheetName val="S23H Motor Transport"/>
      <sheetName val="S23I Garages"/>
      <sheetName val="S23J Misc"/>
      <sheetName val="S23K Local Overheads"/>
      <sheetName val="S23T Street Scene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20">
        <row r="15">
          <cell r="D15">
            <v>-1825.232</v>
          </cell>
          <cell r="E15">
            <v>85</v>
          </cell>
          <cell r="F15">
            <v>105</v>
          </cell>
          <cell r="G15">
            <v>0</v>
          </cell>
          <cell r="H15">
            <v>0</v>
          </cell>
          <cell r="I15">
            <v>-181</v>
          </cell>
          <cell r="J15">
            <v>0</v>
          </cell>
        </row>
        <row r="16">
          <cell r="D16">
            <v>-4198.469</v>
          </cell>
          <cell r="E16">
            <v>0</v>
          </cell>
          <cell r="F16">
            <v>120</v>
          </cell>
          <cell r="G16">
            <v>0</v>
          </cell>
          <cell r="H16">
            <v>-50</v>
          </cell>
          <cell r="I16">
            <v>-250</v>
          </cell>
          <cell r="J16">
            <v>0</v>
          </cell>
        </row>
        <row r="17">
          <cell r="D17">
            <v>2751.149</v>
          </cell>
          <cell r="E17">
            <v>0</v>
          </cell>
          <cell r="F17">
            <v>189</v>
          </cell>
          <cell r="G17">
            <v>-30</v>
          </cell>
          <cell r="H17">
            <v>0</v>
          </cell>
          <cell r="I17">
            <v>-50</v>
          </cell>
          <cell r="J17">
            <v>0</v>
          </cell>
        </row>
        <row r="18">
          <cell r="D18">
            <v>-953.603</v>
          </cell>
          <cell r="E18">
            <v>0</v>
          </cell>
          <cell r="F18">
            <v>71</v>
          </cell>
          <cell r="G18">
            <v>-40</v>
          </cell>
          <cell r="H18">
            <v>0</v>
          </cell>
          <cell r="I18">
            <v>-180</v>
          </cell>
          <cell r="J18">
            <v>0</v>
          </cell>
        </row>
        <row r="19">
          <cell r="D19">
            <v>-158.653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-180</v>
          </cell>
          <cell r="J19">
            <v>0</v>
          </cell>
        </row>
        <row r="20">
          <cell r="D20">
            <v>3853.578</v>
          </cell>
          <cell r="E20">
            <v>0</v>
          </cell>
          <cell r="F20">
            <v>30</v>
          </cell>
          <cell r="G20">
            <v>-50</v>
          </cell>
          <cell r="H20">
            <v>0</v>
          </cell>
          <cell r="I20">
            <v>0</v>
          </cell>
          <cell r="J20">
            <v>0</v>
          </cell>
        </row>
        <row r="21">
          <cell r="D21">
            <v>-2173.453</v>
          </cell>
          <cell r="E21">
            <v>65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D22">
            <v>-74.416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D23">
            <v>-147.477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2068.515</v>
          </cell>
          <cell r="E24">
            <v>0</v>
          </cell>
          <cell r="F24">
            <v>75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</sheetData>
      <sheetData sheetId="21">
        <row r="15">
          <cell r="C15">
            <v>35.7</v>
          </cell>
          <cell r="D15">
            <v>0</v>
          </cell>
          <cell r="E15">
            <v>0</v>
          </cell>
          <cell r="F15">
            <v>0</v>
          </cell>
          <cell r="G15">
            <v>-77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-60</v>
          </cell>
          <cell r="H16">
            <v>0</v>
          </cell>
        </row>
        <row r="17">
          <cell r="C17">
            <v>0</v>
          </cell>
          <cell r="D17">
            <v>-14</v>
          </cell>
          <cell r="E17">
            <v>0</v>
          </cell>
          <cell r="F17">
            <v>0</v>
          </cell>
          <cell r="G17">
            <v>-15.75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-40</v>
          </cell>
          <cell r="F18">
            <v>0</v>
          </cell>
          <cell r="G18">
            <v>-90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27.3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  <sheetData sheetId="22">
        <row r="15">
          <cell r="C15">
            <v>36.414</v>
          </cell>
          <cell r="D15">
            <v>0</v>
          </cell>
          <cell r="E15">
            <v>0</v>
          </cell>
          <cell r="F15">
            <v>0</v>
          </cell>
          <cell r="G15">
            <v>-77</v>
          </cell>
          <cell r="H15">
            <v>0</v>
          </cell>
        </row>
        <row r="16">
          <cell r="C16">
            <v>0</v>
          </cell>
          <cell r="D16">
            <v>-220</v>
          </cell>
          <cell r="E16">
            <v>0</v>
          </cell>
          <cell r="F16">
            <v>0</v>
          </cell>
          <cell r="G16">
            <v>-5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-16.065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-40</v>
          </cell>
          <cell r="F18">
            <v>0</v>
          </cell>
          <cell r="G18">
            <v>-90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27.846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-300</v>
          </cell>
          <cell r="F24">
            <v>0</v>
          </cell>
          <cell r="G24">
            <v>0</v>
          </cell>
          <cell r="H24">
            <v>0</v>
          </cell>
        </row>
      </sheetData>
      <sheetData sheetId="23">
        <row r="15">
          <cell r="C15">
            <v>37.142</v>
          </cell>
          <cell r="D15">
            <v>0</v>
          </cell>
          <cell r="E15">
            <v>0</v>
          </cell>
          <cell r="F15">
            <v>0</v>
          </cell>
          <cell r="G15">
            <v>-80.5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-65.65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-16.386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-25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28.403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-150</v>
          </cell>
          <cell r="H24">
            <v>0</v>
          </cell>
        </row>
      </sheetData>
      <sheetData sheetId="24">
        <row r="15">
          <cell r="C15">
            <v>37.885</v>
          </cell>
          <cell r="D15">
            <v>0</v>
          </cell>
          <cell r="E15">
            <v>0</v>
          </cell>
          <cell r="F15">
            <v>0</v>
          </cell>
          <cell r="G15">
            <v>-75.25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-66.3065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-16.714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-25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28.971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-155</v>
          </cell>
          <cell r="H24">
            <v>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Target &amp; Control Total Summary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22A Leisure Management"/>
      <sheetName val="S22B OSP"/>
      <sheetName val="S22C Sports Development"/>
      <sheetName val="S22D Allotments"/>
      <sheetName val="S22E Burial Services"/>
      <sheetName val="S22F Countryside"/>
      <sheetName val="S22G Parks"/>
      <sheetName val="S22H Parks Mgt and Admin"/>
      <sheetName val="Appendix2 Feeder 1213"/>
      <sheetName val="Appendix2 Feeder 1314"/>
      <sheetName val="Appendix2 Feeder 1415"/>
      <sheetName val="Appendix2 Feeder 1516"/>
      <sheetName val="Appendix2 Feeder 1617"/>
      <sheetName val="Summary- DEF"/>
      <sheetName val="Detail- DEF"/>
      <sheetName val="Corporate Finance"/>
    </sheetNames>
    <sheetDataSet>
      <sheetData sheetId="17">
        <row r="17">
          <cell r="C17">
            <v>1547.993</v>
          </cell>
          <cell r="D17">
            <v>0</v>
          </cell>
          <cell r="E17">
            <v>-354</v>
          </cell>
          <cell r="F17">
            <v>-156.55770000000018</v>
          </cell>
          <cell r="G17">
            <v>0</v>
          </cell>
          <cell r="H17">
            <v>0</v>
          </cell>
          <cell r="I17">
            <v>-30</v>
          </cell>
        </row>
        <row r="18">
          <cell r="C18">
            <v>6.856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C19">
            <v>96.243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-1</v>
          </cell>
          <cell r="I19">
            <v>0</v>
          </cell>
        </row>
        <row r="20">
          <cell r="C20">
            <v>-10.853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25.65</v>
          </cell>
          <cell r="D21">
            <v>0</v>
          </cell>
          <cell r="E21">
            <v>10</v>
          </cell>
          <cell r="F21">
            <v>-10</v>
          </cell>
          <cell r="G21">
            <v>-2</v>
          </cell>
          <cell r="H21">
            <v>0</v>
          </cell>
          <cell r="I21">
            <v>-5</v>
          </cell>
        </row>
        <row r="22">
          <cell r="C22">
            <v>132.888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C23">
            <v>2175.493</v>
          </cell>
          <cell r="D23">
            <v>0</v>
          </cell>
          <cell r="E23">
            <v>0</v>
          </cell>
          <cell r="F23">
            <v>-143</v>
          </cell>
          <cell r="G23">
            <v>0</v>
          </cell>
          <cell r="H23">
            <v>-53</v>
          </cell>
          <cell r="I23">
            <v>0</v>
          </cell>
        </row>
        <row r="24">
          <cell r="C24">
            <v>52.807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</sheetData>
      <sheetData sheetId="18">
        <row r="17">
          <cell r="C17">
            <v>-2</v>
          </cell>
          <cell r="D17">
            <v>0</v>
          </cell>
          <cell r="E17">
            <v>-49.867649999999905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-1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-5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-7</v>
          </cell>
          <cell r="F23">
            <v>0</v>
          </cell>
          <cell r="G23">
            <v>-36</v>
          </cell>
          <cell r="H23">
            <v>-30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  <sheetData sheetId="19">
        <row r="17">
          <cell r="C17">
            <v>7</v>
          </cell>
          <cell r="D17">
            <v>0</v>
          </cell>
          <cell r="E17">
            <v>37.96275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-116</v>
          </cell>
          <cell r="F23">
            <v>0</v>
          </cell>
          <cell r="G23">
            <v>-67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  <sheetData sheetId="20">
        <row r="17">
          <cell r="C17">
            <v>8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-40</v>
          </cell>
          <cell r="F23">
            <v>0</v>
          </cell>
          <cell r="G23">
            <v>-29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  <sheetData sheetId="21">
        <row r="17">
          <cell r="C17">
            <v>3</v>
          </cell>
          <cell r="D17">
            <v>0</v>
          </cell>
          <cell r="E17">
            <v>-13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-16</v>
          </cell>
          <cell r="F23">
            <v>-35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34A Committees"/>
      <sheetName val="S34B Election Services"/>
      <sheetName val="S34C Legal Services"/>
      <sheetName val="S34D Member Services"/>
      <sheetName val="S34E Scruitiny"/>
      <sheetName val="S34F Executive Support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4">
        <row r="15">
          <cell r="D15">
            <v>225.828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D16">
            <v>159.248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D17">
            <v>766.854</v>
          </cell>
          <cell r="E17">
            <v>0</v>
          </cell>
          <cell r="F17">
            <v>0</v>
          </cell>
          <cell r="G17">
            <v>0</v>
          </cell>
          <cell r="H17">
            <v>14</v>
          </cell>
          <cell r="I17">
            <v>-5</v>
          </cell>
          <cell r="J17">
            <v>0</v>
          </cell>
        </row>
        <row r="18">
          <cell r="D18">
            <v>451.242</v>
          </cell>
          <cell r="E18">
            <v>0</v>
          </cell>
          <cell r="F18">
            <v>0</v>
          </cell>
          <cell r="G18">
            <v>-1</v>
          </cell>
          <cell r="H18">
            <v>0</v>
          </cell>
          <cell r="I18">
            <v>0</v>
          </cell>
          <cell r="J18">
            <v>-11</v>
          </cell>
        </row>
        <row r="19">
          <cell r="D19">
            <v>52.728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D20">
            <v>915.912</v>
          </cell>
          <cell r="E20">
            <v>0</v>
          </cell>
          <cell r="F20">
            <v>0</v>
          </cell>
          <cell r="G20">
            <v>-32</v>
          </cell>
          <cell r="H20">
            <v>0</v>
          </cell>
          <cell r="I20">
            <v>0</v>
          </cell>
          <cell r="J20">
            <v>-42.2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-29.7</v>
          </cell>
          <cell r="F17">
            <v>-14</v>
          </cell>
          <cell r="G17">
            <v>-5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  <sheetData sheetId="17">
        <row r="15">
          <cell r="C15">
            <v>0</v>
          </cell>
          <cell r="D15">
            <v>0</v>
          </cell>
          <cell r="E15">
            <v>-4.359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-1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-28</v>
          </cell>
        </row>
      </sheetData>
      <sheetData sheetId="18">
        <row r="15">
          <cell r="C15">
            <v>0</v>
          </cell>
          <cell r="D15">
            <v>0</v>
          </cell>
          <cell r="E15">
            <v>-4.272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-1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ICT Sers&amp;Nets"/>
      <sheetName val="Detail-ICT Ser&amp;Net"/>
      <sheetName val="Bus Trans Title Sheet"/>
      <sheetName val="Blank"/>
      <sheetName val="ICT Title Sheet"/>
      <sheetName val="Summary- ICT Core Systems"/>
      <sheetName val="Detail- ICT Core Systems"/>
      <sheetName val="Summary- ICT Dept Costs"/>
      <sheetName val="Detail- ICT Dept Costs"/>
      <sheetName val="Summary- ICT Telephony"/>
      <sheetName val="Detail- ICT Telephony"/>
      <sheetName val="Bus Trans &amp; Procu Title Sheet"/>
      <sheetName val="Business Trans Title (2)"/>
      <sheetName val="Summary- Shared Back Office"/>
      <sheetName val="Detail- Shared Back Office"/>
      <sheetName val="Summary- Tranform Projs"/>
      <sheetName val="Detail- Transform Projs"/>
      <sheetName val="Summary-Performance"/>
      <sheetName val="Detail-Performance"/>
      <sheetName val="Summary- Strat Procurement"/>
      <sheetName val="Detail- Strat Procurement"/>
      <sheetName val="Bus Trans Savings Sheet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8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3">
        <row r="150">
          <cell r="F150">
            <v>16</v>
          </cell>
        </row>
        <row r="152">
          <cell r="F152">
            <v>203</v>
          </cell>
        </row>
        <row r="154">
          <cell r="F154">
            <v>-31</v>
          </cell>
        </row>
        <row r="156">
          <cell r="F156">
            <v>0</v>
          </cell>
        </row>
      </sheetData>
      <sheetData sheetId="15">
        <row r="149">
          <cell r="F149">
            <v>0</v>
          </cell>
        </row>
        <row r="151">
          <cell r="F151">
            <v>0</v>
          </cell>
        </row>
        <row r="153">
          <cell r="F153">
            <v>-60</v>
          </cell>
        </row>
        <row r="155">
          <cell r="F155">
            <v>0</v>
          </cell>
        </row>
      </sheetData>
      <sheetData sheetId="17">
        <row r="150">
          <cell r="F150">
            <v>0</v>
          </cell>
        </row>
        <row r="152">
          <cell r="F152">
            <v>0</v>
          </cell>
        </row>
        <row r="154">
          <cell r="F154">
            <v>-11</v>
          </cell>
        </row>
        <row r="156">
          <cell r="F156">
            <v>0</v>
          </cell>
        </row>
      </sheetData>
      <sheetData sheetId="21">
        <row r="148">
          <cell r="F148">
            <v>0</v>
          </cell>
        </row>
        <row r="150">
          <cell r="F150">
            <v>60</v>
          </cell>
        </row>
        <row r="152">
          <cell r="F152">
            <v>0</v>
          </cell>
        </row>
        <row r="154">
          <cell r="F154">
            <v>0</v>
          </cell>
        </row>
      </sheetData>
      <sheetData sheetId="23">
        <row r="151">
          <cell r="F151">
            <v>0</v>
          </cell>
        </row>
        <row r="153">
          <cell r="F153">
            <v>0</v>
          </cell>
        </row>
        <row r="155">
          <cell r="F155">
            <v>0</v>
          </cell>
        </row>
        <row r="157">
          <cell r="F157">
            <v>0</v>
          </cell>
        </row>
      </sheetData>
      <sheetData sheetId="25">
        <row r="149">
          <cell r="F149">
            <v>0</v>
          </cell>
        </row>
        <row r="151">
          <cell r="F151">
            <v>0</v>
          </cell>
        </row>
        <row r="153">
          <cell r="F153">
            <v>0</v>
          </cell>
        </row>
        <row r="155">
          <cell r="F15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Procurement Title Sheet"/>
      <sheetName val="Blank"/>
      <sheetName val="Procurement Title Sheet (2)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 Strat Procurement"/>
      <sheetName val="Detail- Strat Procurement"/>
      <sheetName val="Procurement Savings Sheet"/>
      <sheetName val="Summary- Office Accom"/>
      <sheetName val="Detail- Office Accom"/>
      <sheetName val="Summary- Prop Maint"/>
      <sheetName val="Detail- Prop Maint"/>
      <sheetName val="Summary- Supp Servs"/>
      <sheetName val="Detail- Supp Servs"/>
      <sheetName val="Summary- Pub Convs"/>
      <sheetName val="Detail- Pub Convs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25">
          <cell r="F125">
            <v>0</v>
          </cell>
        </row>
        <row r="127">
          <cell r="F127">
            <v>10</v>
          </cell>
        </row>
        <row r="129">
          <cell r="F129">
            <v>-81</v>
          </cell>
        </row>
        <row r="131">
          <cell r="F131">
            <v>15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ustomer Serives - Title Sheet"/>
      <sheetName val="Blank"/>
      <sheetName val="Cusotmer Service Title Sheet 2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 Cust Services"/>
      <sheetName val="Detail- Cust Services"/>
      <sheetName val="Summary- Council Tax"/>
      <sheetName val="Detail- Council Tax"/>
      <sheetName val="Summary- Housing Benefit"/>
      <sheetName val="Detail- Housing Benefit"/>
      <sheetName val="Summary- Income &amp; NNDR"/>
      <sheetName val="Detail- Income &amp; NNDR"/>
      <sheetName val="Summary-Scanning"/>
      <sheetName val="Detail-Scanning"/>
      <sheetName val="Customer Services Savings"/>
      <sheetName val="Summary- Pub Convs"/>
      <sheetName val="Detail- Pub Convs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50">
          <cell r="F150">
            <v>0</v>
          </cell>
        </row>
        <row r="152">
          <cell r="F152">
            <v>85</v>
          </cell>
        </row>
        <row r="154">
          <cell r="F154">
            <v>-49.013999999999996</v>
          </cell>
        </row>
        <row r="156">
          <cell r="F156">
            <v>0</v>
          </cell>
        </row>
      </sheetData>
      <sheetData sheetId="13">
        <row r="150">
          <cell r="F150">
            <v>0</v>
          </cell>
        </row>
        <row r="152">
          <cell r="F152">
            <v>0</v>
          </cell>
        </row>
        <row r="154">
          <cell r="F154">
            <v>-12.5</v>
          </cell>
        </row>
        <row r="156">
          <cell r="F156">
            <v>0</v>
          </cell>
        </row>
      </sheetData>
      <sheetData sheetId="15">
        <row r="150">
          <cell r="F150">
            <v>0</v>
          </cell>
        </row>
        <row r="152">
          <cell r="F152">
            <v>61.5</v>
          </cell>
        </row>
        <row r="154">
          <cell r="F154">
            <v>-127.857</v>
          </cell>
        </row>
        <row r="156">
          <cell r="F156">
            <v>0</v>
          </cell>
        </row>
      </sheetData>
      <sheetData sheetId="17">
        <row r="151">
          <cell r="F151">
            <v>0</v>
          </cell>
        </row>
        <row r="153">
          <cell r="F153">
            <v>0</v>
          </cell>
        </row>
        <row r="155">
          <cell r="F155">
            <v>0</v>
          </cell>
        </row>
        <row r="157">
          <cell r="F157">
            <v>0</v>
          </cell>
        </row>
      </sheetData>
      <sheetData sheetId="19">
        <row r="150">
          <cell r="F150">
            <v>0</v>
          </cell>
        </row>
        <row r="152">
          <cell r="F152">
            <v>0</v>
          </cell>
        </row>
        <row r="154">
          <cell r="F154">
            <v>-52.014</v>
          </cell>
        </row>
        <row r="156">
          <cell r="F15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City Leisure title sheet"/>
      <sheetName val="Sheet2"/>
      <sheetName val="City Leisure (2)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 Leisure Manage"/>
      <sheetName val="Detail- Leisure Manage"/>
      <sheetName val="Summary- Sports Dev"/>
      <sheetName val="Detail- Sports Dev"/>
      <sheetName val="Summary- Allotments"/>
      <sheetName val="Detail- Allotments"/>
      <sheetName val="Summary- Burial Services"/>
      <sheetName val="Detail- Burial Services"/>
      <sheetName val="Summary- Countryside"/>
      <sheetName val="Detail- Countryside"/>
      <sheetName val="Summary- Parks"/>
      <sheetName val="Detail- Parks"/>
      <sheetName val="Summary- Parks Manage"/>
      <sheetName val="Detail- Parks Manage"/>
      <sheetName val="City Leisure Savings Sheet"/>
      <sheetName val="Summary- DEF"/>
      <sheetName val="Detail- DEF"/>
      <sheetName val="Corporate Finance"/>
    </sheetNames>
    <sheetDataSet>
      <sheetData sheetId="11">
        <row r="152">
          <cell r="F152">
            <v>20</v>
          </cell>
        </row>
        <row r="154">
          <cell r="F154">
            <v>-192.20915</v>
          </cell>
        </row>
        <row r="156">
          <cell r="F156">
            <v>0</v>
          </cell>
        </row>
      </sheetData>
      <sheetData sheetId="13">
        <row r="152">
          <cell r="F152">
            <v>0</v>
          </cell>
        </row>
        <row r="154">
          <cell r="F154">
            <v>0</v>
          </cell>
        </row>
        <row r="156">
          <cell r="F156">
            <v>-3</v>
          </cell>
        </row>
        <row r="158">
          <cell r="F158">
            <v>0</v>
          </cell>
        </row>
      </sheetData>
      <sheetData sheetId="1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7">
        <row r="150">
          <cell r="F150">
            <v>0</v>
          </cell>
        </row>
        <row r="152">
          <cell r="F152">
            <v>0</v>
          </cell>
        </row>
        <row r="154">
          <cell r="F154">
            <v>-15</v>
          </cell>
        </row>
        <row r="156">
          <cell r="F156">
            <v>1</v>
          </cell>
        </row>
      </sheetData>
      <sheetData sheetId="19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21">
        <row r="150">
          <cell r="F150">
            <v>0</v>
          </cell>
        </row>
        <row r="152">
          <cell r="F152">
            <v>0</v>
          </cell>
        </row>
        <row r="154">
          <cell r="F154">
            <v>-271</v>
          </cell>
        </row>
        <row r="156">
          <cell r="F156">
            <v>35</v>
          </cell>
        </row>
      </sheetData>
      <sheetData sheetId="23">
        <row r="150">
          <cell r="F150">
            <v>0</v>
          </cell>
        </row>
        <row r="152">
          <cell r="F152">
            <v>0</v>
          </cell>
        </row>
        <row r="154">
          <cell r="F154">
            <v>-30</v>
          </cell>
        </row>
        <row r="156">
          <cell r="F156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L&amp;GTitle Sheet"/>
      <sheetName val="Blank"/>
      <sheetName val="L&amp;G Title Sheet (2)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 Committees"/>
      <sheetName val="Detail- Committees"/>
      <sheetName val="Summary- Election Services"/>
      <sheetName val="Detail- Election Services"/>
      <sheetName val="Summary- Legal Services"/>
      <sheetName val="Detail- Legal Services"/>
      <sheetName val="Summary- Member Services"/>
      <sheetName val="Detail- Member Services"/>
      <sheetName val="Summary- Scrutiny"/>
      <sheetName val="Detail- Scrutiny"/>
      <sheetName val="Summary- Exec Support"/>
      <sheetName val="Detail- Exec Support"/>
      <sheetName val="L&amp;G Savings Shee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48">
          <cell r="F148">
            <v>0</v>
          </cell>
        </row>
        <row r="150">
          <cell r="F150">
            <v>0</v>
          </cell>
        </row>
        <row r="152">
          <cell r="F152">
            <v>-37</v>
          </cell>
        </row>
        <row r="154">
          <cell r="F154">
            <v>0</v>
          </cell>
        </row>
      </sheetData>
      <sheetData sheetId="13">
        <row r="150">
          <cell r="F150">
            <v>0</v>
          </cell>
        </row>
        <row r="152">
          <cell r="F152">
            <v>0</v>
          </cell>
        </row>
        <row r="154">
          <cell r="F154">
            <v>-1</v>
          </cell>
        </row>
        <row r="156">
          <cell r="F156">
            <v>0</v>
          </cell>
        </row>
      </sheetData>
      <sheetData sheetId="15">
        <row r="149">
          <cell r="F149">
            <v>0</v>
          </cell>
        </row>
        <row r="151">
          <cell r="F151">
            <v>0</v>
          </cell>
        </row>
        <row r="153">
          <cell r="F153">
            <v>0</v>
          </cell>
        </row>
        <row r="155">
          <cell r="F155">
            <v>-7</v>
          </cell>
        </row>
      </sheetData>
      <sheetData sheetId="17">
        <row r="150">
          <cell r="F150">
            <v>0</v>
          </cell>
        </row>
        <row r="152">
          <cell r="F152">
            <v>0</v>
          </cell>
        </row>
        <row r="154">
          <cell r="F154">
            <v>-1</v>
          </cell>
        </row>
        <row r="156">
          <cell r="F156">
            <v>0</v>
          </cell>
        </row>
      </sheetData>
      <sheetData sheetId="19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21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Corp Ass Title Sheet"/>
      <sheetName val="Blank"/>
      <sheetName val="Corp Ass Title Sheet (2)"/>
      <sheetName val="Summary- Comn Property"/>
      <sheetName val="Detail- Comm Property"/>
      <sheetName val="Summary- Office Accom"/>
      <sheetName val="Detail- Office Accom"/>
      <sheetName val="Summary- Prop Maint"/>
      <sheetName val="Detail- Prop Maint"/>
      <sheetName val="Summary- Supp Servs"/>
      <sheetName val="Detail- Supp Servs"/>
      <sheetName val="Appendix G"/>
      <sheetName val="Sheet1"/>
      <sheetName val="Sheet2"/>
      <sheetName val="Sheet3"/>
      <sheetName val="Corp Assets Savings Sheet"/>
      <sheetName val="Summary- Pub Convs"/>
      <sheetName val="Detail- Pub Convs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54">
          <cell r="F154">
            <v>0</v>
          </cell>
        </row>
        <row r="156">
          <cell r="F156">
            <v>101</v>
          </cell>
        </row>
        <row r="158">
          <cell r="F158">
            <v>0</v>
          </cell>
        </row>
        <row r="160">
          <cell r="F160">
            <v>0</v>
          </cell>
        </row>
      </sheetData>
      <sheetData sheetId="13">
        <row r="151">
          <cell r="F151">
            <v>0</v>
          </cell>
        </row>
        <row r="153">
          <cell r="F153">
            <v>0</v>
          </cell>
        </row>
        <row r="155">
          <cell r="F155">
            <v>-109.60000000000001</v>
          </cell>
        </row>
        <row r="157">
          <cell r="F157">
            <v>0</v>
          </cell>
        </row>
      </sheetData>
      <sheetData sheetId="15">
        <row r="151">
          <cell r="F151">
            <v>0</v>
          </cell>
        </row>
        <row r="153">
          <cell r="F153">
            <v>0</v>
          </cell>
        </row>
        <row r="155">
          <cell r="F155">
            <v>-62</v>
          </cell>
        </row>
        <row r="157">
          <cell r="F157">
            <v>0</v>
          </cell>
        </row>
      </sheetData>
      <sheetData sheetId="17">
        <row r="149">
          <cell r="F149">
            <v>0</v>
          </cell>
        </row>
        <row r="151">
          <cell r="F151">
            <v>22</v>
          </cell>
        </row>
        <row r="153">
          <cell r="F153">
            <v>-145</v>
          </cell>
        </row>
        <row r="155">
          <cell r="F155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City Development Title sheet"/>
      <sheetName val="Blank"/>
      <sheetName val="Head of Service Summary"/>
      <sheetName val="City Development Title shee (2)"/>
      <sheetName val="Summary- Cultural Dev"/>
      <sheetName val="Detail- Cultural Dev"/>
      <sheetName val="Summary- Development"/>
      <sheetName val="Detail- Development"/>
      <sheetName val="Summary- Tech Servs"/>
      <sheetName val="Detail- Tech Servs"/>
      <sheetName val="Summary- Info Servs"/>
      <sheetName val="Detail- Info Servs"/>
      <sheetName val="Summary- Spatial Dev"/>
      <sheetName val="Detail- Spatial Dev"/>
      <sheetName val="City Dev Savings Sheet"/>
      <sheetName val="Pressures"/>
      <sheetName val="Contractual Inflation"/>
      <sheetName val="Efficiency Savings"/>
      <sheetName val="Invest to Save"/>
      <sheetName val="Fees &amp; Charges"/>
      <sheetName val="Service Reductions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7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9">
        <row r="150">
          <cell r="F150">
            <v>0</v>
          </cell>
        </row>
        <row r="152">
          <cell r="F152">
            <v>0</v>
          </cell>
        </row>
        <row r="154">
          <cell r="F154">
            <v>-31</v>
          </cell>
        </row>
        <row r="156">
          <cell r="F156">
            <v>0</v>
          </cell>
        </row>
      </sheetData>
      <sheetData sheetId="11">
        <row r="150">
          <cell r="F150">
            <v>0</v>
          </cell>
        </row>
        <row r="152">
          <cell r="F152">
            <v>0</v>
          </cell>
        </row>
        <row r="154">
          <cell r="F154">
            <v>-40</v>
          </cell>
        </row>
        <row r="156">
          <cell r="F156">
            <v>0</v>
          </cell>
        </row>
      </sheetData>
      <sheetData sheetId="13">
        <row r="150">
          <cell r="F150">
            <v>0</v>
          </cell>
        </row>
        <row r="152">
          <cell r="F152">
            <v>40</v>
          </cell>
        </row>
        <row r="154">
          <cell r="F154">
            <v>-52</v>
          </cell>
        </row>
        <row r="156">
          <cell r="F15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../Completed%20Templates/CS/Appendix%20A%20-%20S21%20Cust%20Serv%20Budgets%2012-13.xls" TargetMode="External" /><Relationship Id="rId2" Type="http://schemas.openxmlformats.org/officeDocument/2006/relationships/hyperlink" Target="../Completed%20Templates/ED/Appendix%20A%20-%20S12%20ED%20Budgets%2012-13%20(2).xls" TargetMode="External" /><Relationship Id="rId3" Type="http://schemas.openxmlformats.org/officeDocument/2006/relationships/hyperlink" Target="../Completed%20Templates/P&amp;E/Appendix%20A%20-%20S33%20PE%20Budgets%2012-13.xls" TargetMode="External" /><Relationship Id="rId4" Type="http://schemas.openxmlformats.org/officeDocument/2006/relationships/hyperlink" Target="../Completed%20Templates/PCC/Appendix%20A%20-%20PCC%20Budgets%2012-13%20Final.xls" TargetMode="External" /><Relationship Id="rId5" Type="http://schemas.openxmlformats.org/officeDocument/2006/relationships/hyperlink" Target="../Completed%20Templates/City%20Leisure/Appendix%20A%20-%20S22%20City%20Leis%20Budgets%2012-13%20after%201st%20CMT%20review%2026.09.11.xls" TargetMode="External" /><Relationship Id="rId6" Type="http://schemas.openxmlformats.org/officeDocument/2006/relationships/hyperlink" Target="../Completed%20Templates/BI/Appendix%20A%20-%20%20Business_Improvement_draft_V1_11th_September_2011JL%20%20%20VC%2012.01.xls" TargetMode="External" /><Relationship Id="rId7" Type="http://schemas.openxmlformats.org/officeDocument/2006/relationships/hyperlink" Target="../Completed%20Templates/ICT/Appendix%20A%20-%20S31%20ICT%20Budgets%2012-13%20-V3%20from%20AO%2008%2009%20VC%20Amend.xls" TargetMode="External" /><Relationship Id="rId8" Type="http://schemas.openxmlformats.org/officeDocument/2006/relationships/hyperlink" Target="../Completed%20Templates/S23%20-%20Direct%20Services/Copy%20of%20Appendix%20A%20-%20S23%20Dir%20Serv%20Budgets%2012-13%20incl%20Risk%20Analysis.xls" TargetMode="External" /><Relationship Id="rId9" Type="http://schemas.openxmlformats.org/officeDocument/2006/relationships/hyperlink" Target="../Completed%20Templates/Corporate%20Assets/Appendix%20A%20-%20CA%20S14%20Budgets%2012-13.xls" TargetMode="External" /><Relationship Id="rId10" Type="http://schemas.openxmlformats.org/officeDocument/2006/relationships/hyperlink" Target="../Completed%20Templates/Finance/S32%20Fin%20Budgets%2012-13%20savings%20version%202%2014.09.2011.xls" TargetMode="External" /><Relationship Id="rId11" Type="http://schemas.openxmlformats.org/officeDocument/2006/relationships/hyperlink" Target="../Completed%20Templates/L&amp;G/Appendix%20A%20-%20Budgets%2012-13%20updated%2013.9.11%2017.30.xls" TargetMode="External" /><Relationship Id="rId12" Type="http://schemas.openxmlformats.org/officeDocument/2006/relationships/hyperlink" Target="../Completed%20Templates/CHD/Appendix%20A%20-%20S13%20CHD%20Budgets%2012-13.xls" TargetMode="External" /><Relationship Id="rId13" Type="http://schemas.openxmlformats.org/officeDocument/2006/relationships/hyperlink" Target="../Completed%20Templates/City%20Development/Appendix%20A%20-%20CD%20S11%20Budgets%2012-13.xls" TargetMode="External" /><Relationship Id="rId14" Type="http://schemas.openxmlformats.org/officeDocument/2006/relationships/comments" Target="../comments5.xml" /><Relationship Id="rId15" Type="http://schemas.openxmlformats.org/officeDocument/2006/relationships/vmlDrawing" Target="../drawings/vmlDrawing1.vml" /><Relationship Id="rId1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1">
      <selection activeCell="AL46" sqref="AL46"/>
    </sheetView>
  </sheetViews>
  <sheetFormatPr defaultColWidth="9.140625" defaultRowHeight="12.75"/>
  <cols>
    <col min="1" max="1" width="33.57421875" style="0" customWidth="1"/>
    <col min="2" max="2" width="7.57421875" style="0" bestFit="1" customWidth="1"/>
    <col min="3" max="7" width="10.28125" style="0" bestFit="1" customWidth="1"/>
  </cols>
  <sheetData>
    <row r="1" ht="12.75">
      <c r="A1" s="3" t="s">
        <v>188</v>
      </c>
    </row>
    <row r="2" ht="12.75">
      <c r="A2" s="3"/>
    </row>
    <row r="3" ht="12.75">
      <c r="A3" s="3" t="s">
        <v>186</v>
      </c>
    </row>
    <row r="4" spans="2:15" ht="12.75">
      <c r="B4" s="102" t="s">
        <v>100</v>
      </c>
      <c r="C4" s="102" t="s">
        <v>101</v>
      </c>
      <c r="D4" s="102" t="s">
        <v>102</v>
      </c>
      <c r="E4" s="102" t="s">
        <v>183</v>
      </c>
      <c r="F4" s="102" t="s">
        <v>183</v>
      </c>
      <c r="G4" s="102" t="s">
        <v>183</v>
      </c>
      <c r="J4" s="102" t="s">
        <v>100</v>
      </c>
      <c r="K4" s="102" t="s">
        <v>101</v>
      </c>
      <c r="L4" s="102" t="s">
        <v>102</v>
      </c>
      <c r="M4" s="102" t="s">
        <v>183</v>
      </c>
      <c r="N4" s="102" t="s">
        <v>183</v>
      </c>
      <c r="O4" s="102" t="s">
        <v>183</v>
      </c>
    </row>
    <row r="5" spans="1:15" ht="12.75">
      <c r="A5" t="s">
        <v>10</v>
      </c>
      <c r="B5" s="101">
        <v>14.987</v>
      </c>
      <c r="C5" s="101">
        <v>16</v>
      </c>
      <c r="D5" s="101">
        <v>13</v>
      </c>
      <c r="E5" s="101">
        <v>13</v>
      </c>
      <c r="F5" s="101"/>
      <c r="G5" s="101"/>
      <c r="J5" s="101">
        <v>14.987</v>
      </c>
      <c r="K5" s="101">
        <v>14.987</v>
      </c>
      <c r="L5" s="101">
        <v>14.987</v>
      </c>
      <c r="M5" s="101">
        <v>14.987</v>
      </c>
      <c r="N5" s="101">
        <v>14.987</v>
      </c>
      <c r="O5" s="101">
        <v>14.987</v>
      </c>
    </row>
    <row r="6" spans="1:15" ht="12.75">
      <c r="A6" t="s">
        <v>1</v>
      </c>
      <c r="B6" s="101">
        <v>1229</v>
      </c>
      <c r="C6" s="101">
        <v>1141</v>
      </c>
      <c r="D6" s="101">
        <v>-257.466</v>
      </c>
      <c r="E6" s="101">
        <v>10</v>
      </c>
      <c r="F6" s="101"/>
      <c r="G6" s="101"/>
      <c r="J6" s="101">
        <v>1229</v>
      </c>
      <c r="K6" s="101">
        <v>1229</v>
      </c>
      <c r="L6" s="101">
        <v>1229</v>
      </c>
      <c r="M6" s="101">
        <v>1229</v>
      </c>
      <c r="N6" s="101">
        <v>1229</v>
      </c>
      <c r="O6" s="101">
        <v>1229</v>
      </c>
    </row>
    <row r="7" spans="1:15" ht="12.75">
      <c r="A7" t="s">
        <v>2</v>
      </c>
      <c r="B7" s="101">
        <v>-3296.0501500000005</v>
      </c>
      <c r="C7" s="101">
        <v>-1505.0497</v>
      </c>
      <c r="D7" s="101">
        <v>-620.4676499999999</v>
      </c>
      <c r="E7" s="101">
        <v>-480.03725</v>
      </c>
      <c r="F7" s="101"/>
      <c r="G7" s="101"/>
      <c r="J7" s="101">
        <v>-3296.0501500000005</v>
      </c>
      <c r="K7" s="101">
        <v>-3296.0501500000005</v>
      </c>
      <c r="L7" s="101">
        <v>-3296.0501500000005</v>
      </c>
      <c r="M7" s="101">
        <v>-3296.0501500000005</v>
      </c>
      <c r="N7" s="101">
        <v>-3296.0501500000005</v>
      </c>
      <c r="O7" s="101">
        <v>-3296.0501500000005</v>
      </c>
    </row>
    <row r="8" spans="1:15" ht="12.75">
      <c r="A8" t="s">
        <v>3</v>
      </c>
      <c r="B8" s="101">
        <v>547.614</v>
      </c>
      <c r="C8" s="101">
        <v>-756</v>
      </c>
      <c r="D8" s="101">
        <v>-157</v>
      </c>
      <c r="E8" s="101">
        <v>-20</v>
      </c>
      <c r="F8" s="101"/>
      <c r="G8" s="101"/>
      <c r="J8" s="101">
        <v>547.614</v>
      </c>
      <c r="K8" s="101">
        <v>547.614</v>
      </c>
      <c r="L8" s="101">
        <v>547.614</v>
      </c>
      <c r="M8" s="101">
        <v>547.614</v>
      </c>
      <c r="N8" s="101">
        <v>547.614</v>
      </c>
      <c r="O8" s="101">
        <v>547.614</v>
      </c>
    </row>
    <row r="9" spans="1:15" ht="12.75">
      <c r="A9" t="s">
        <v>4</v>
      </c>
      <c r="B9" s="101">
        <v>-757.64</v>
      </c>
      <c r="C9" s="101">
        <v>-537.74</v>
      </c>
      <c r="D9" s="101">
        <v>-539.5</v>
      </c>
      <c r="E9" s="101">
        <v>-446.7</v>
      </c>
      <c r="F9" s="101"/>
      <c r="G9" s="101"/>
      <c r="J9" s="101">
        <v>-757.64</v>
      </c>
      <c r="K9" s="101">
        <v>-757.64</v>
      </c>
      <c r="L9" s="101">
        <v>-757.64</v>
      </c>
      <c r="M9" s="101">
        <v>-757.64</v>
      </c>
      <c r="N9" s="101">
        <v>-757.64</v>
      </c>
      <c r="O9" s="101">
        <v>-757.64</v>
      </c>
    </row>
    <row r="10" spans="1:15" ht="12.75">
      <c r="A10" t="s">
        <v>5</v>
      </c>
      <c r="B10" s="101">
        <v>-945.1</v>
      </c>
      <c r="C10" s="101">
        <v>-377.8</v>
      </c>
      <c r="D10" s="101">
        <v>-271.7</v>
      </c>
      <c r="E10" s="101">
        <v>-107.4</v>
      </c>
      <c r="F10" s="101"/>
      <c r="G10" s="101"/>
      <c r="J10" s="101">
        <v>-945.1</v>
      </c>
      <c r="K10" s="101">
        <v>-945.1</v>
      </c>
      <c r="L10" s="101">
        <v>-945.1</v>
      </c>
      <c r="M10" s="101">
        <v>-945.1</v>
      </c>
      <c r="N10" s="101">
        <v>-945.1</v>
      </c>
      <c r="O10" s="101">
        <v>-945.1</v>
      </c>
    </row>
    <row r="12" spans="1:15" ht="12.75">
      <c r="A12" s="3" t="s">
        <v>189</v>
      </c>
      <c r="B12" s="104">
        <f aca="true" t="shared" si="0" ref="B12:G12">SUM(B5:B11)</f>
        <v>-3207.18915</v>
      </c>
      <c r="C12" s="104">
        <f t="shared" si="0"/>
        <v>-2019.5897</v>
      </c>
      <c r="D12" s="104">
        <f t="shared" si="0"/>
        <v>-1833.13365</v>
      </c>
      <c r="E12" s="104">
        <f t="shared" si="0"/>
        <v>-1031.13725</v>
      </c>
      <c r="F12" s="104">
        <f t="shared" si="0"/>
        <v>0</v>
      </c>
      <c r="G12" s="104">
        <f t="shared" si="0"/>
        <v>0</v>
      </c>
      <c r="J12" s="104">
        <f aca="true" t="shared" si="1" ref="J12:O12">SUM(J5:J11)</f>
        <v>-3207.18915</v>
      </c>
      <c r="K12" s="104">
        <f t="shared" si="1"/>
        <v>-3207.18915</v>
      </c>
      <c r="L12" s="104">
        <f t="shared" si="1"/>
        <v>-3207.18915</v>
      </c>
      <c r="M12" s="104">
        <f t="shared" si="1"/>
        <v>-3207.18915</v>
      </c>
      <c r="N12" s="104">
        <f t="shared" si="1"/>
        <v>-3207.18915</v>
      </c>
      <c r="O12" s="104">
        <f t="shared" si="1"/>
        <v>-3207.18915</v>
      </c>
    </row>
    <row r="13" spans="2:5" ht="12.75">
      <c r="B13" s="103"/>
      <c r="C13" s="103"/>
      <c r="D13" s="103"/>
      <c r="E13" s="103"/>
    </row>
    <row r="14" ht="12.75">
      <c r="A14" s="3" t="s">
        <v>187</v>
      </c>
    </row>
    <row r="15" spans="2:15" ht="12.75">
      <c r="B15" s="102" t="s">
        <v>100</v>
      </c>
      <c r="C15" s="102" t="s">
        <v>101</v>
      </c>
      <c r="D15" s="102" t="s">
        <v>102</v>
      </c>
      <c r="E15" s="102" t="s">
        <v>183</v>
      </c>
      <c r="F15" s="102" t="s">
        <v>184</v>
      </c>
      <c r="G15" s="102" t="s">
        <v>185</v>
      </c>
      <c r="K15" s="102" t="s">
        <v>101</v>
      </c>
      <c r="L15" s="102" t="s">
        <v>102</v>
      </c>
      <c r="M15" s="102" t="s">
        <v>183</v>
      </c>
      <c r="N15" s="102" t="s">
        <v>184</v>
      </c>
      <c r="O15" s="102" t="s">
        <v>185</v>
      </c>
    </row>
    <row r="16" spans="1:15" ht="12.75">
      <c r="A16" t="s">
        <v>10</v>
      </c>
      <c r="C16" s="101">
        <f>+'2012-13'!C111</f>
        <v>248.12181699999996</v>
      </c>
      <c r="D16" s="101">
        <f>+'2013-14'!C111</f>
        <v>161.66790785</v>
      </c>
      <c r="E16" s="101">
        <f>+'2014-15'!C111</f>
        <v>175.6613032425002</v>
      </c>
      <c r="F16" s="101">
        <f>+'2015-16'!C111</f>
        <v>73.545</v>
      </c>
      <c r="G16" s="101">
        <f>+'2016-17'!C111</f>
        <v>69.856</v>
      </c>
      <c r="K16" s="101">
        <f aca="true" t="shared" si="2" ref="K16:K21">+C16</f>
        <v>248.12181699999996</v>
      </c>
      <c r="L16" s="101">
        <f aca="true" t="shared" si="3" ref="L16:O21">+K16+D16</f>
        <v>409.78972484999997</v>
      </c>
      <c r="M16" s="101">
        <f t="shared" si="3"/>
        <v>585.4510280925001</v>
      </c>
      <c r="N16" s="101">
        <f t="shared" si="3"/>
        <v>658.9960280925001</v>
      </c>
      <c r="O16" s="101">
        <f t="shared" si="3"/>
        <v>728.8520280925001</v>
      </c>
    </row>
    <row r="17" spans="1:15" ht="12.75">
      <c r="A17" t="s">
        <v>1</v>
      </c>
      <c r="C17" s="101">
        <f>+'2012-13'!D111</f>
        <v>582.4</v>
      </c>
      <c r="D17" s="101">
        <f>+'2013-14'!D111</f>
        <v>3.200000000000003</v>
      </c>
      <c r="E17" s="101">
        <f>+'2014-15'!D111</f>
        <v>-210</v>
      </c>
      <c r="F17" s="101">
        <f>+'2015-16'!D111</f>
        <v>-25</v>
      </c>
      <c r="G17" s="101">
        <f>+'2016-17'!D111</f>
        <v>0</v>
      </c>
      <c r="K17" s="101">
        <f t="shared" si="2"/>
        <v>582.4</v>
      </c>
      <c r="L17" s="101">
        <f t="shared" si="3"/>
        <v>585.6</v>
      </c>
      <c r="M17" s="101">
        <f t="shared" si="3"/>
        <v>375.6</v>
      </c>
      <c r="N17" s="101">
        <f t="shared" si="3"/>
        <v>350.6</v>
      </c>
      <c r="O17" s="101">
        <f t="shared" si="3"/>
        <v>350.6</v>
      </c>
    </row>
    <row r="18" spans="1:15" ht="12.75">
      <c r="A18" t="s">
        <v>2</v>
      </c>
      <c r="C18" s="101">
        <f>+'2012-13'!E111</f>
        <v>-1761.1247000000003</v>
      </c>
      <c r="D18" s="101">
        <f>+'2013-14'!E111</f>
        <v>-636.06765</v>
      </c>
      <c r="E18" s="101">
        <f>+'2014-15'!E111</f>
        <v>-685.53725</v>
      </c>
      <c r="F18" s="101">
        <f>+'2015-16'!E111</f>
        <v>-498.887</v>
      </c>
      <c r="G18" s="101">
        <f>+'2016-17'!E111</f>
        <v>-225.09900000000002</v>
      </c>
      <c r="K18" s="101">
        <f t="shared" si="2"/>
        <v>-1761.1247000000003</v>
      </c>
      <c r="L18" s="101">
        <f t="shared" si="3"/>
        <v>-2397.1923500000003</v>
      </c>
      <c r="M18" s="101">
        <f t="shared" si="3"/>
        <v>-3082.7296</v>
      </c>
      <c r="N18" s="101">
        <f t="shared" si="3"/>
        <v>-3581.6166000000003</v>
      </c>
      <c r="O18" s="101">
        <f t="shared" si="3"/>
        <v>-3806.7156000000004</v>
      </c>
    </row>
    <row r="19" spans="1:15" ht="12.75">
      <c r="A19" t="s">
        <v>3</v>
      </c>
      <c r="C19" s="101">
        <f>+'2012-13'!F111</f>
        <v>-459</v>
      </c>
      <c r="D19" s="101">
        <f>+'2013-14'!F111</f>
        <v>-205</v>
      </c>
      <c r="E19" s="101">
        <f>+'2014-15'!F111</f>
        <v>-20</v>
      </c>
      <c r="F19" s="101">
        <f>+'2015-16'!F111</f>
        <v>0</v>
      </c>
      <c r="G19" s="101">
        <f>+'2016-17'!F111</f>
        <v>-35</v>
      </c>
      <c r="K19" s="101">
        <f t="shared" si="2"/>
        <v>-459</v>
      </c>
      <c r="L19" s="101">
        <f t="shared" si="3"/>
        <v>-664</v>
      </c>
      <c r="M19" s="101">
        <f t="shared" si="3"/>
        <v>-684</v>
      </c>
      <c r="N19" s="101">
        <f t="shared" si="3"/>
        <v>-684</v>
      </c>
      <c r="O19" s="101">
        <f t="shared" si="3"/>
        <v>-719</v>
      </c>
    </row>
    <row r="20" spans="1:15" ht="12.75">
      <c r="A20" t="s">
        <v>4</v>
      </c>
      <c r="C20" s="101">
        <f>+'2012-13'!G111</f>
        <v>-1197.5</v>
      </c>
      <c r="D20" s="101">
        <f>+'2013-14'!G111</f>
        <v>-655.825</v>
      </c>
      <c r="E20" s="101">
        <f>+'2014-15'!G111</f>
        <v>-272.365</v>
      </c>
      <c r="F20" s="101">
        <f>+'2015-16'!G111</f>
        <v>-555.036</v>
      </c>
      <c r="G20" s="101">
        <f>+'2016-17'!G111</f>
        <v>-390.95149999999995</v>
      </c>
      <c r="K20" s="101">
        <f t="shared" si="2"/>
        <v>-1197.5</v>
      </c>
      <c r="L20" s="101">
        <f t="shared" si="3"/>
        <v>-1853.325</v>
      </c>
      <c r="M20" s="101">
        <f t="shared" si="3"/>
        <v>-2125.69</v>
      </c>
      <c r="N20" s="101">
        <f t="shared" si="3"/>
        <v>-2680.726</v>
      </c>
      <c r="O20" s="101">
        <f t="shared" si="3"/>
        <v>-3071.6775000000002</v>
      </c>
    </row>
    <row r="21" spans="1:15" ht="12.75">
      <c r="A21" t="s">
        <v>5</v>
      </c>
      <c r="C21" s="101">
        <f>+'2012-13'!H111</f>
        <v>-290.2</v>
      </c>
      <c r="D21" s="101">
        <f>+'2013-14'!H111</f>
        <v>-241</v>
      </c>
      <c r="E21" s="101">
        <f>+'2014-15'!H111</f>
        <v>-210</v>
      </c>
      <c r="F21" s="101">
        <f>+'2015-16'!H111</f>
        <v>-179.387</v>
      </c>
      <c r="G21" s="101">
        <f>+'2016-17'!H111</f>
        <v>-60</v>
      </c>
      <c r="K21" s="101">
        <f t="shared" si="2"/>
        <v>-290.2</v>
      </c>
      <c r="L21" s="101">
        <f t="shared" si="3"/>
        <v>-531.2</v>
      </c>
      <c r="M21" s="101">
        <f t="shared" si="3"/>
        <v>-741.2</v>
      </c>
      <c r="N21" s="101">
        <f t="shared" si="3"/>
        <v>-920.587</v>
      </c>
      <c r="O21" s="101">
        <f t="shared" si="3"/>
        <v>-980.587</v>
      </c>
    </row>
    <row r="23" spans="1:15" ht="12.75">
      <c r="A23" s="3" t="s">
        <v>189</v>
      </c>
      <c r="B23" s="3"/>
      <c r="C23" s="104">
        <f>SUM(C16:C22)</f>
        <v>-2877.3028830000003</v>
      </c>
      <c r="D23" s="104">
        <f>SUM(D16:D22)</f>
        <v>-1573.02474215</v>
      </c>
      <c r="E23" s="104">
        <f>SUM(E16:E22)</f>
        <v>-1222.2409467574998</v>
      </c>
      <c r="F23" s="104">
        <f>SUM(F16:F22)</f>
        <v>-1184.7649999999999</v>
      </c>
      <c r="G23" s="104">
        <f>SUM(G16:G22)</f>
        <v>-641.1945</v>
      </c>
      <c r="K23" s="104">
        <f>SUM(K16:K22)</f>
        <v>-2877.3028830000003</v>
      </c>
      <c r="L23" s="104">
        <f>SUM(L16:L22)</f>
        <v>-4450.32762515</v>
      </c>
      <c r="M23" s="104">
        <f>SUM(M16:M22)</f>
        <v>-5672.5685719075</v>
      </c>
      <c r="N23" s="104">
        <f>SUM(N16:N22)</f>
        <v>-6857.3335719075</v>
      </c>
      <c r="O23" s="104">
        <f>SUM(O16:O22)</f>
        <v>-7498.5280719075</v>
      </c>
    </row>
    <row r="24" spans="1:7" ht="12.75">
      <c r="A24" s="105"/>
      <c r="B24" s="105"/>
      <c r="C24" s="106"/>
      <c r="D24" s="106"/>
      <c r="E24" s="106"/>
      <c r="F24" s="106"/>
      <c r="G24" s="106"/>
    </row>
    <row r="25" ht="12.75">
      <c r="A25" s="3" t="s">
        <v>190</v>
      </c>
    </row>
    <row r="26" spans="2:7" ht="12.75">
      <c r="B26" s="102" t="s">
        <v>100</v>
      </c>
      <c r="C26" s="102" t="s">
        <v>101</v>
      </c>
      <c r="D26" s="102" t="s">
        <v>102</v>
      </c>
      <c r="E26" s="102" t="s">
        <v>183</v>
      </c>
      <c r="F26" s="102" t="s">
        <v>184</v>
      </c>
      <c r="G26" s="102" t="s">
        <v>185</v>
      </c>
    </row>
    <row r="27" spans="1:7" ht="12.75">
      <c r="A27" t="s">
        <v>10</v>
      </c>
      <c r="C27" s="107">
        <f aca="true" t="shared" si="4" ref="C27:E32">C16-C5</f>
        <v>232.12181699999996</v>
      </c>
      <c r="D27" s="107">
        <f t="shared" si="4"/>
        <v>148.66790785</v>
      </c>
      <c r="E27" s="107">
        <f t="shared" si="4"/>
        <v>162.6613032425002</v>
      </c>
      <c r="F27" s="107">
        <f aca="true" t="shared" si="5" ref="F27:G32">F16-F5</f>
        <v>73.545</v>
      </c>
      <c r="G27" s="107">
        <f t="shared" si="5"/>
        <v>69.856</v>
      </c>
    </row>
    <row r="28" spans="1:7" ht="12.75">
      <c r="A28" t="s">
        <v>1</v>
      </c>
      <c r="C28" s="107">
        <f t="shared" si="4"/>
        <v>-558.6</v>
      </c>
      <c r="D28" s="107">
        <f t="shared" si="4"/>
        <v>260.666</v>
      </c>
      <c r="E28" s="107">
        <f t="shared" si="4"/>
        <v>-220</v>
      </c>
      <c r="F28" s="107">
        <f t="shared" si="5"/>
        <v>-25</v>
      </c>
      <c r="G28" s="107">
        <f t="shared" si="5"/>
        <v>0</v>
      </c>
    </row>
    <row r="29" spans="1:7" ht="12.75">
      <c r="A29" t="s">
        <v>2</v>
      </c>
      <c r="C29" s="107">
        <f t="shared" si="4"/>
        <v>-256.0750000000003</v>
      </c>
      <c r="D29" s="107">
        <f t="shared" si="4"/>
        <v>-15.600000000000023</v>
      </c>
      <c r="E29" s="107">
        <f t="shared" si="4"/>
        <v>-205.5</v>
      </c>
      <c r="F29" s="107">
        <f t="shared" si="5"/>
        <v>-498.887</v>
      </c>
      <c r="G29" s="107">
        <f t="shared" si="5"/>
        <v>-225.09900000000002</v>
      </c>
    </row>
    <row r="30" spans="1:7" ht="12.75">
      <c r="A30" t="s">
        <v>3</v>
      </c>
      <c r="C30" s="107">
        <f t="shared" si="4"/>
        <v>297</v>
      </c>
      <c r="D30" s="107">
        <f t="shared" si="4"/>
        <v>-48</v>
      </c>
      <c r="E30" s="107">
        <f t="shared" si="4"/>
        <v>0</v>
      </c>
      <c r="F30" s="107">
        <f t="shared" si="5"/>
        <v>0</v>
      </c>
      <c r="G30" s="107">
        <f t="shared" si="5"/>
        <v>-35</v>
      </c>
    </row>
    <row r="31" spans="1:7" ht="12.75">
      <c r="A31" t="s">
        <v>4</v>
      </c>
      <c r="C31" s="107">
        <f t="shared" si="4"/>
        <v>-659.76</v>
      </c>
      <c r="D31" s="107">
        <f t="shared" si="4"/>
        <v>-116.32500000000005</v>
      </c>
      <c r="E31" s="107">
        <f t="shared" si="4"/>
        <v>174.33499999999998</v>
      </c>
      <c r="F31" s="107">
        <f t="shared" si="5"/>
        <v>-555.036</v>
      </c>
      <c r="G31" s="107">
        <f t="shared" si="5"/>
        <v>-390.95149999999995</v>
      </c>
    </row>
    <row r="32" spans="1:7" ht="12.75">
      <c r="A32" t="s">
        <v>5</v>
      </c>
      <c r="C32" s="107">
        <f t="shared" si="4"/>
        <v>87.60000000000002</v>
      </c>
      <c r="D32" s="107">
        <f t="shared" si="4"/>
        <v>30.69999999999999</v>
      </c>
      <c r="E32" s="107">
        <f t="shared" si="4"/>
        <v>-102.6</v>
      </c>
      <c r="F32" s="107">
        <f t="shared" si="5"/>
        <v>-179.387</v>
      </c>
      <c r="G32" s="107">
        <f t="shared" si="5"/>
        <v>-60</v>
      </c>
    </row>
    <row r="34" spans="1:7" ht="12.75">
      <c r="A34" s="3" t="s">
        <v>189</v>
      </c>
      <c r="C34" s="108">
        <f>SUM(C27:C33)</f>
        <v>-857.7131830000003</v>
      </c>
      <c r="D34" s="108">
        <f>SUM(D27:D33)</f>
        <v>260.1089078499999</v>
      </c>
      <c r="E34" s="108">
        <f>SUM(E27:E33)</f>
        <v>-191.10369675749982</v>
      </c>
      <c r="F34" s="108">
        <f>SUM(F27:F33)</f>
        <v>-1184.7649999999999</v>
      </c>
      <c r="G34" s="108">
        <f>SUM(G27:G33)</f>
        <v>-641.1945</v>
      </c>
    </row>
    <row r="36" spans="3:7" ht="12.75">
      <c r="C36" s="107"/>
      <c r="D36" s="107"/>
      <c r="E36" s="107"/>
      <c r="F36" s="107"/>
      <c r="G36" s="107"/>
    </row>
    <row r="37" spans="1:7" ht="12.75">
      <c r="A37" t="s">
        <v>239</v>
      </c>
      <c r="B37" s="102" t="s">
        <v>100</v>
      </c>
      <c r="C37" s="102" t="s">
        <v>101</v>
      </c>
      <c r="D37" s="102" t="s">
        <v>102</v>
      </c>
      <c r="E37" s="102" t="s">
        <v>183</v>
      </c>
      <c r="F37" s="102" t="s">
        <v>184</v>
      </c>
      <c r="G37" s="102" t="s">
        <v>185</v>
      </c>
    </row>
    <row r="38" spans="1:7" ht="12.75">
      <c r="A38" t="s">
        <v>10</v>
      </c>
      <c r="C38" s="101">
        <f aca="true" t="shared" si="6" ref="C38:C43">+C16*1000</f>
        <v>248121.81699999995</v>
      </c>
      <c r="D38" s="101">
        <f aca="true" t="shared" si="7" ref="D38:G43">+C38+(D16*1000)</f>
        <v>409789.72485</v>
      </c>
      <c r="E38" s="101">
        <f t="shared" si="7"/>
        <v>585451.0280925002</v>
      </c>
      <c r="F38" s="101">
        <f t="shared" si="7"/>
        <v>658996.0280925002</v>
      </c>
      <c r="G38" s="101">
        <f t="shared" si="7"/>
        <v>728852.0280925002</v>
      </c>
    </row>
    <row r="39" spans="1:7" ht="12.75">
      <c r="A39" t="s">
        <v>1</v>
      </c>
      <c r="C39" s="101">
        <f t="shared" si="6"/>
        <v>582400</v>
      </c>
      <c r="D39" s="101">
        <f t="shared" si="7"/>
        <v>585600</v>
      </c>
      <c r="E39" s="101">
        <f t="shared" si="7"/>
        <v>375600</v>
      </c>
      <c r="F39" s="101">
        <f t="shared" si="7"/>
        <v>350600</v>
      </c>
      <c r="G39" s="101">
        <f t="shared" si="7"/>
        <v>350600</v>
      </c>
    </row>
    <row r="40" spans="1:7" ht="12.75">
      <c r="A40" t="s">
        <v>2</v>
      </c>
      <c r="C40" s="101">
        <f t="shared" si="6"/>
        <v>-1761124.7000000002</v>
      </c>
      <c r="D40" s="101">
        <f t="shared" si="7"/>
        <v>-2397192.35</v>
      </c>
      <c r="E40" s="101">
        <f t="shared" si="7"/>
        <v>-3082729.6</v>
      </c>
      <c r="F40" s="101">
        <f t="shared" si="7"/>
        <v>-3581616.6</v>
      </c>
      <c r="G40" s="101">
        <f t="shared" si="7"/>
        <v>-3806715.6</v>
      </c>
    </row>
    <row r="41" spans="1:7" ht="12.75">
      <c r="A41" t="s">
        <v>3</v>
      </c>
      <c r="C41" s="101">
        <f t="shared" si="6"/>
        <v>-459000</v>
      </c>
      <c r="D41" s="101">
        <f t="shared" si="7"/>
        <v>-664000</v>
      </c>
      <c r="E41" s="101">
        <f t="shared" si="7"/>
        <v>-684000</v>
      </c>
      <c r="F41" s="101">
        <f t="shared" si="7"/>
        <v>-684000</v>
      </c>
      <c r="G41" s="101">
        <f t="shared" si="7"/>
        <v>-719000</v>
      </c>
    </row>
    <row r="42" spans="1:7" ht="12.75">
      <c r="A42" t="s">
        <v>4</v>
      </c>
      <c r="C42" s="101">
        <f t="shared" si="6"/>
        <v>-1197500</v>
      </c>
      <c r="D42" s="101">
        <f t="shared" si="7"/>
        <v>-1853325</v>
      </c>
      <c r="E42" s="101">
        <f t="shared" si="7"/>
        <v>-2125690</v>
      </c>
      <c r="F42" s="101">
        <f t="shared" si="7"/>
        <v>-2680726</v>
      </c>
      <c r="G42" s="101">
        <f t="shared" si="7"/>
        <v>-3071677.5</v>
      </c>
    </row>
    <row r="43" spans="1:7" ht="12.75">
      <c r="A43" t="s">
        <v>5</v>
      </c>
      <c r="C43" s="101">
        <f t="shared" si="6"/>
        <v>-290200</v>
      </c>
      <c r="D43" s="101">
        <f t="shared" si="7"/>
        <v>-531200</v>
      </c>
      <c r="E43" s="101">
        <f t="shared" si="7"/>
        <v>-741200</v>
      </c>
      <c r="F43" s="101">
        <f t="shared" si="7"/>
        <v>-920587</v>
      </c>
      <c r="G43" s="101">
        <f t="shared" si="7"/>
        <v>-980587</v>
      </c>
    </row>
    <row r="44" spans="3:7" ht="12.75">
      <c r="C44" s="101">
        <f>+C22</f>
        <v>0</v>
      </c>
      <c r="D44" s="101">
        <f>+C44+D22</f>
        <v>0</v>
      </c>
      <c r="E44" s="101">
        <f>+D44+E22</f>
        <v>0</v>
      </c>
      <c r="F44" s="101">
        <f>+E44+F22</f>
        <v>0</v>
      </c>
      <c r="G44" s="101">
        <f>+F44+G22</f>
        <v>0</v>
      </c>
    </row>
    <row r="45" spans="2:7" ht="12.75">
      <c r="B45" s="3"/>
      <c r="C45" s="104">
        <f>SUM(C38:C44)</f>
        <v>-2877302.8830000004</v>
      </c>
      <c r="D45" s="104">
        <f>SUM(D38:D44)</f>
        <v>-4450327.625150001</v>
      </c>
      <c r="E45" s="104">
        <f>SUM(E38:E44)</f>
        <v>-5672568.5719075</v>
      </c>
      <c r="F45" s="104">
        <f>SUM(F38:F44)</f>
        <v>-6857333.5719075</v>
      </c>
      <c r="G45" s="104">
        <f>SUM(G38:G44)</f>
        <v>-7498528.0719075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94"/>
  <sheetViews>
    <sheetView workbookViewId="0" topLeftCell="A1">
      <selection activeCell="C94" sqref="C94"/>
    </sheetView>
  </sheetViews>
  <sheetFormatPr defaultColWidth="9.140625" defaultRowHeight="12.75"/>
  <cols>
    <col min="1" max="1" width="10.140625" style="0" bestFit="1" customWidth="1"/>
    <col min="2" max="2" width="11.57421875" style="0" bestFit="1" customWidth="1"/>
    <col min="3" max="3" width="11.57421875" style="0" customWidth="1"/>
    <col min="5" max="5" width="12.57421875" style="0" customWidth="1"/>
    <col min="8" max="8" width="11.140625" style="0" customWidth="1"/>
  </cols>
  <sheetData>
    <row r="2" spans="2:9" ht="38.25">
      <c r="B2" s="9" t="s">
        <v>103</v>
      </c>
      <c r="C2" s="9"/>
      <c r="D2" s="9" t="s">
        <v>2</v>
      </c>
      <c r="E2" s="9" t="s">
        <v>4</v>
      </c>
      <c r="F2" s="9" t="s">
        <v>5</v>
      </c>
      <c r="G2" s="9" t="s">
        <v>1</v>
      </c>
      <c r="H2" s="9" t="s">
        <v>10</v>
      </c>
      <c r="I2" s="9" t="s">
        <v>3</v>
      </c>
    </row>
    <row r="3" spans="1:2" ht="12.75">
      <c r="A3" t="s">
        <v>104</v>
      </c>
      <c r="B3">
        <f>+'Original 2011-12 (@11-12)'!D120</f>
        <v>24667.86</v>
      </c>
    </row>
    <row r="4" spans="1:9" ht="12.75">
      <c r="A4" t="s">
        <v>99</v>
      </c>
      <c r="C4" t="e">
        <f>+B3-D4-E4-F4</f>
        <v>#REF!</v>
      </c>
      <c r="D4" t="e">
        <f>+#REF!*-1</f>
        <v>#REF!</v>
      </c>
      <c r="E4" t="e">
        <f>+#REF!*-1</f>
        <v>#REF!</v>
      </c>
      <c r="F4" t="e">
        <f>+#REF!*-1</f>
        <v>#REF!</v>
      </c>
      <c r="G4" t="e">
        <f>+#REF!</f>
        <v>#REF!</v>
      </c>
      <c r="H4" t="e">
        <f>+#REF!</f>
        <v>#REF!</v>
      </c>
      <c r="I4" t="e">
        <f>+#REF!</f>
        <v>#REF!</v>
      </c>
    </row>
    <row r="5" spans="1:9" ht="12.75">
      <c r="A5" t="s">
        <v>100</v>
      </c>
      <c r="C5" t="e">
        <f>+C4-D5-E5-F5</f>
        <v>#REF!</v>
      </c>
      <c r="D5" t="e">
        <f>+#REF!*-1</f>
        <v>#REF!</v>
      </c>
      <c r="E5" t="e">
        <f>+#REF!*-1</f>
        <v>#REF!</v>
      </c>
      <c r="F5" t="e">
        <f>+#REF!*-1</f>
        <v>#REF!</v>
      </c>
      <c r="G5" t="e">
        <f>+#REF!</f>
        <v>#REF!</v>
      </c>
      <c r="H5" t="e">
        <f>+#REF!</f>
        <v>#REF!</v>
      </c>
      <c r="I5" t="e">
        <f>+#REF!*-1</f>
        <v>#REF!</v>
      </c>
    </row>
    <row r="6" spans="1:9" ht="12.75">
      <c r="A6" t="s">
        <v>101</v>
      </c>
      <c r="C6" t="e">
        <f>+C5-D6-E6-F6</f>
        <v>#REF!</v>
      </c>
      <c r="D6" t="e">
        <f>+#REF!*-1</f>
        <v>#REF!</v>
      </c>
      <c r="E6" t="e">
        <f>+#REF!*-1</f>
        <v>#REF!</v>
      </c>
      <c r="F6" t="e">
        <f>+#REF!*-1</f>
        <v>#REF!</v>
      </c>
      <c r="G6" t="e">
        <f>+#REF!</f>
        <v>#REF!</v>
      </c>
      <c r="H6" t="e">
        <f>+#REF!</f>
        <v>#REF!</v>
      </c>
      <c r="I6" t="e">
        <f>+#REF!*-1</f>
        <v>#REF!</v>
      </c>
    </row>
    <row r="7" spans="1:9" ht="12.75">
      <c r="A7" t="s">
        <v>102</v>
      </c>
      <c r="C7" t="e">
        <f>+C6-D7-E7-F7</f>
        <v>#REF!</v>
      </c>
      <c r="D7" t="e">
        <f>+#REF!*-1</f>
        <v>#REF!</v>
      </c>
      <c r="E7" t="e">
        <f>+#REF!*-1</f>
        <v>#REF!</v>
      </c>
      <c r="F7" t="e">
        <f>+#REF!*-1</f>
        <v>#REF!</v>
      </c>
      <c r="G7" t="e">
        <f>+#REF!</f>
        <v>#REF!</v>
      </c>
      <c r="H7" t="e">
        <f>+#REF!</f>
        <v>#REF!</v>
      </c>
      <c r="I7" t="e">
        <f>+#REF!*-1</f>
        <v>#REF!</v>
      </c>
    </row>
    <row r="8" spans="1:9" ht="12.75">
      <c r="A8" t="s">
        <v>105</v>
      </c>
      <c r="I8" t="e">
        <f>+#REF!</f>
        <v>#REF!</v>
      </c>
    </row>
    <row r="94" ht="12.75">
      <c r="B94" s="3" t="s">
        <v>106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6"/>
  <sheetViews>
    <sheetView zoomScale="75" zoomScaleNormal="75" workbookViewId="0" topLeftCell="A1">
      <pane ySplit="2" topLeftCell="BM30" activePane="bottomLeft" state="frozen"/>
      <selection pane="topLeft" activeCell="AL46" sqref="AL46"/>
      <selection pane="bottomLeft" activeCell="AL46" sqref="AL46"/>
    </sheetView>
  </sheetViews>
  <sheetFormatPr defaultColWidth="9.140625" defaultRowHeight="12.75"/>
  <cols>
    <col min="1" max="1" width="33.28125" style="30" bestFit="1" customWidth="1"/>
    <col min="2" max="2" width="12.421875" style="12" customWidth="1"/>
    <col min="3" max="3" width="17.00390625" style="12" customWidth="1"/>
    <col min="4" max="4" width="12.421875" style="12" customWidth="1"/>
    <col min="5" max="5" width="14.28125" style="12" customWidth="1"/>
    <col min="6" max="9" width="12.7109375" style="12" customWidth="1"/>
    <col min="10" max="10" width="14.140625" style="12" customWidth="1"/>
    <col min="11" max="11" width="12.7109375" style="12" customWidth="1"/>
    <col min="12" max="12" width="12.421875" style="13" customWidth="1"/>
    <col min="13" max="13" width="9.140625" style="12" customWidth="1"/>
    <col min="14" max="35" width="0" style="12" hidden="1" customWidth="1"/>
    <col min="36" max="16384" width="9.140625" style="12" customWidth="1"/>
  </cols>
  <sheetData>
    <row r="1" spans="1:12" ht="27.75">
      <c r="A1" s="158" t="s">
        <v>119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60"/>
    </row>
    <row r="2" spans="1:12" ht="90.75" customHeight="1">
      <c r="A2" s="32"/>
      <c r="B2" s="4" t="s">
        <v>0</v>
      </c>
      <c r="C2" s="4" t="s">
        <v>111</v>
      </c>
      <c r="D2" s="4" t="s">
        <v>117</v>
      </c>
      <c r="E2" s="5" t="s">
        <v>10</v>
      </c>
      <c r="F2" s="5" t="s">
        <v>1</v>
      </c>
      <c r="G2" s="5" t="s">
        <v>2</v>
      </c>
      <c r="H2" s="5" t="s">
        <v>3</v>
      </c>
      <c r="I2" s="5" t="s">
        <v>4</v>
      </c>
      <c r="J2" s="5" t="s">
        <v>5</v>
      </c>
      <c r="K2" s="5" t="s">
        <v>6</v>
      </c>
      <c r="L2" s="4" t="s">
        <v>114</v>
      </c>
    </row>
    <row r="3" spans="1:12" ht="13.5" customHeight="1">
      <c r="A3" s="58"/>
      <c r="B3" s="59" t="s">
        <v>73</v>
      </c>
      <c r="C3" s="8" t="s">
        <v>73</v>
      </c>
      <c r="D3" s="8" t="s">
        <v>73</v>
      </c>
      <c r="E3" s="32" t="s">
        <v>73</v>
      </c>
      <c r="F3" s="32" t="s">
        <v>73</v>
      </c>
      <c r="G3" s="32" t="s">
        <v>73</v>
      </c>
      <c r="H3" s="32" t="s">
        <v>73</v>
      </c>
      <c r="I3" s="32" t="s">
        <v>73</v>
      </c>
      <c r="J3" s="32" t="s">
        <v>73</v>
      </c>
      <c r="K3" s="32" t="s">
        <v>73</v>
      </c>
      <c r="L3" s="4"/>
    </row>
    <row r="4" spans="1:12" ht="12.75">
      <c r="A4" s="25" t="s">
        <v>24</v>
      </c>
      <c r="B4" s="34">
        <f>+B6+B13+B17+B23</f>
        <v>7118</v>
      </c>
      <c r="C4" s="34">
        <f>+D4-B4</f>
        <v>-567.1500000000005</v>
      </c>
      <c r="D4" s="34">
        <f aca="true" t="shared" si="0" ref="D4:K4">+D6+D13+D17+D23</f>
        <v>6550.849999999999</v>
      </c>
      <c r="E4" s="35">
        <f t="shared" si="0"/>
        <v>0</v>
      </c>
      <c r="F4" s="35">
        <f t="shared" si="0"/>
        <v>384</v>
      </c>
      <c r="G4" s="35">
        <f t="shared" si="0"/>
        <v>-1165.1660000000002</v>
      </c>
      <c r="H4" s="35">
        <f t="shared" si="0"/>
        <v>153.614</v>
      </c>
      <c r="I4" s="35">
        <f t="shared" si="0"/>
        <v>-281.64</v>
      </c>
      <c r="J4" s="35">
        <f t="shared" si="0"/>
        <v>-662.7</v>
      </c>
      <c r="K4" s="35">
        <f t="shared" si="0"/>
        <v>4978.9580000000005</v>
      </c>
      <c r="L4" s="15">
        <f>+(D4-K4)/B4</f>
        <v>0.22083338016296697</v>
      </c>
    </row>
    <row r="5" spans="1:12" ht="12.75">
      <c r="A5" s="26"/>
      <c r="B5" s="36"/>
      <c r="C5" s="36"/>
      <c r="D5" s="36"/>
      <c r="E5" s="37"/>
      <c r="F5" s="37"/>
      <c r="G5" s="37"/>
      <c r="H5" s="37"/>
      <c r="I5" s="37"/>
      <c r="J5" s="37"/>
      <c r="K5" s="37"/>
      <c r="L5" s="16"/>
    </row>
    <row r="6" spans="1:12" ht="12.75">
      <c r="A6" s="26" t="s">
        <v>25</v>
      </c>
      <c r="B6" s="36">
        <f>+SUM(B7:B11)</f>
        <v>1550</v>
      </c>
      <c r="C6" s="36">
        <f aca="true" t="shared" si="1" ref="C6:C11">+D6-B6</f>
        <v>121.65999999999985</v>
      </c>
      <c r="D6" s="36">
        <f>+SUM(D7:D11)</f>
        <v>1671.6599999999999</v>
      </c>
      <c r="E6" s="38">
        <f aca="true" t="shared" si="2" ref="E6:K6">+SUM(E7:E11)</f>
        <v>0</v>
      </c>
      <c r="F6" s="38">
        <f t="shared" si="2"/>
        <v>40</v>
      </c>
      <c r="G6" s="38">
        <f t="shared" si="2"/>
        <v>-123</v>
      </c>
      <c r="H6" s="38">
        <f t="shared" si="2"/>
        <v>10</v>
      </c>
      <c r="I6" s="38">
        <f t="shared" si="2"/>
        <v>-88</v>
      </c>
      <c r="J6" s="38">
        <f t="shared" si="2"/>
        <v>-154</v>
      </c>
      <c r="K6" s="38">
        <f t="shared" si="2"/>
        <v>1356.6599999999999</v>
      </c>
      <c r="L6" s="17">
        <f aca="true" t="shared" si="3" ref="L6:L69">+(D6-K6)/B6</f>
        <v>0.2032258064516129</v>
      </c>
    </row>
    <row r="7" spans="1:12" ht="12.75">
      <c r="A7" s="10" t="s">
        <v>26</v>
      </c>
      <c r="B7" s="39">
        <v>67</v>
      </c>
      <c r="C7" s="39">
        <f t="shared" si="1"/>
        <v>-1.6899999999999977</v>
      </c>
      <c r="D7" s="39">
        <v>65.31</v>
      </c>
      <c r="E7" s="40">
        <f>+'[9]Summary- Cultural Dev'!$F$150</f>
        <v>0</v>
      </c>
      <c r="F7" s="40">
        <f>+'[9]Summary- Cultural Dev'!$F$152</f>
        <v>0</v>
      </c>
      <c r="G7" s="40">
        <f>+'[9]Summary- Cultural Dev'!$F$154</f>
        <v>0</v>
      </c>
      <c r="H7" s="40">
        <f>+'[9]Summary- Cultural Dev'!$F$156</f>
        <v>0</v>
      </c>
      <c r="I7" s="40">
        <f>+'[14]FC 40% Budget'!BH5</f>
        <v>0</v>
      </c>
      <c r="J7" s="40">
        <f>+'[14]SR - 40% Budget'!BI5</f>
        <v>0</v>
      </c>
      <c r="K7" s="40">
        <f>+SUM(D7:J7)</f>
        <v>65.31</v>
      </c>
      <c r="L7" s="19">
        <f t="shared" si="3"/>
        <v>0</v>
      </c>
    </row>
    <row r="8" spans="1:12" ht="12.75">
      <c r="A8" s="10" t="s">
        <v>27</v>
      </c>
      <c r="B8" s="39">
        <v>177</v>
      </c>
      <c r="C8" s="39">
        <f t="shared" si="1"/>
        <v>130.42000000000002</v>
      </c>
      <c r="D8" s="39">
        <v>307.42</v>
      </c>
      <c r="E8" s="40">
        <f>+'[9]Summary- Development'!$F$150</f>
        <v>0</v>
      </c>
      <c r="F8" s="40">
        <f>+'[9]Summary- Development'!$F$152</f>
        <v>0</v>
      </c>
      <c r="G8" s="40">
        <f>+'[9]Summary- Development'!$F$154</f>
        <v>0</v>
      </c>
      <c r="H8" s="40">
        <f>+'[9]Summary- Development'!$F$156</f>
        <v>0</v>
      </c>
      <c r="I8" s="40">
        <f>+'[14]FC 40% Budget'!BH6</f>
        <v>-82</v>
      </c>
      <c r="J8" s="40">
        <f>+'[14]SR - 40% Budget'!BI6</f>
        <v>-57</v>
      </c>
      <c r="K8" s="40">
        <f>+SUM(D8:J8)</f>
        <v>168.42000000000002</v>
      </c>
      <c r="L8" s="19">
        <f t="shared" si="3"/>
        <v>0.7853107344632768</v>
      </c>
    </row>
    <row r="9" spans="1:12" ht="12.75">
      <c r="A9" s="10" t="s">
        <v>81</v>
      </c>
      <c r="B9" s="39">
        <v>448</v>
      </c>
      <c r="C9" s="39">
        <f t="shared" si="1"/>
        <v>-1.920000000000016</v>
      </c>
      <c r="D9" s="39">
        <v>446.08</v>
      </c>
      <c r="E9" s="40">
        <f>+'[9]Summary- Tech Servs'!$F$150</f>
        <v>0</v>
      </c>
      <c r="F9" s="40">
        <f>+'[9]Summary- Tech Servs'!$F$152</f>
        <v>0</v>
      </c>
      <c r="G9" s="40">
        <f>+'[9]Summary- Tech Servs'!$F$154</f>
        <v>-31</v>
      </c>
      <c r="H9" s="40">
        <f>+'[9]Summary- Tech Servs'!$F$156</f>
        <v>0</v>
      </c>
      <c r="I9" s="40">
        <f>+'[14]FC 40% Budget'!BH7</f>
        <v>0</v>
      </c>
      <c r="J9" s="40">
        <f>+'[14]SR - 40% Budget'!BI7</f>
        <v>-25</v>
      </c>
      <c r="K9" s="40">
        <f>+SUM(D9:J9)</f>
        <v>390.08</v>
      </c>
      <c r="L9" s="19">
        <f t="shared" si="3"/>
        <v>0.125</v>
      </c>
    </row>
    <row r="10" spans="1:12" ht="12.75">
      <c r="A10" s="10" t="s">
        <v>28</v>
      </c>
      <c r="B10" s="39">
        <v>150</v>
      </c>
      <c r="C10" s="39">
        <f t="shared" si="1"/>
        <v>-1.1299999999999955</v>
      </c>
      <c r="D10" s="39">
        <v>148.87</v>
      </c>
      <c r="E10" s="40">
        <f>+'[9]Summary- Info Servs'!$F$150</f>
        <v>0</v>
      </c>
      <c r="F10" s="40">
        <f>+'[9]Summary- Info Servs'!$F$152</f>
        <v>0</v>
      </c>
      <c r="G10" s="40">
        <f>+'[9]Summary- Info Servs'!$F$154</f>
        <v>-40</v>
      </c>
      <c r="H10" s="40">
        <f>+'[9]Summary- Info Servs'!$F$156</f>
        <v>0</v>
      </c>
      <c r="I10" s="40">
        <f>+'[14]FC 40% Budget'!BH8</f>
        <v>-6</v>
      </c>
      <c r="J10" s="40">
        <f>+'[14]SR - 40% Budget'!BI8</f>
        <v>0</v>
      </c>
      <c r="K10" s="40">
        <f>+SUM(D10:J10)</f>
        <v>102.87</v>
      </c>
      <c r="L10" s="19">
        <f t="shared" si="3"/>
        <v>0.30666666666666664</v>
      </c>
    </row>
    <row r="11" spans="1:12" ht="12.75">
      <c r="A11" s="10" t="s">
        <v>82</v>
      </c>
      <c r="B11" s="39">
        <v>708</v>
      </c>
      <c r="C11" s="39">
        <f t="shared" si="1"/>
        <v>-4.019999999999982</v>
      </c>
      <c r="D11" s="39">
        <v>703.98</v>
      </c>
      <c r="E11" s="40">
        <f>+'[9]Summary- Spatial Dev'!$F$150</f>
        <v>0</v>
      </c>
      <c r="F11" s="40">
        <f>+'[9]Summary- Spatial Dev'!$F$152</f>
        <v>40</v>
      </c>
      <c r="G11" s="40">
        <f>+'[9]Summary- Spatial Dev'!$F$154</f>
        <v>-52</v>
      </c>
      <c r="H11" s="40">
        <f>+'[9]Summary- Spatial Dev'!$F$156</f>
        <v>10</v>
      </c>
      <c r="I11" s="40">
        <f>+'[14]FC 40% Budget'!BH9</f>
        <v>0</v>
      </c>
      <c r="J11" s="40">
        <f>+'[14]SR - 40% Budget'!BI9</f>
        <v>-72</v>
      </c>
      <c r="K11" s="40">
        <f>+SUM(D11:J11)</f>
        <v>629.98</v>
      </c>
      <c r="L11" s="19">
        <f t="shared" si="3"/>
        <v>0.10451977401129943</v>
      </c>
    </row>
    <row r="12" spans="1:12" ht="12.75">
      <c r="A12" s="26"/>
      <c r="B12" s="36"/>
      <c r="C12" s="36"/>
      <c r="D12" s="36"/>
      <c r="E12" s="37"/>
      <c r="F12" s="37"/>
      <c r="G12" s="37"/>
      <c r="H12" s="37"/>
      <c r="I12" s="37"/>
      <c r="J12" s="37"/>
      <c r="K12" s="37"/>
      <c r="L12" s="16"/>
    </row>
    <row r="13" spans="1:12" ht="12.75" customHeight="1">
      <c r="A13" s="26" t="s">
        <v>116</v>
      </c>
      <c r="B13" s="36">
        <f>+SUM(B14:B15)</f>
        <v>1096</v>
      </c>
      <c r="C13" s="36">
        <f>+D13-B13</f>
        <v>-137.58999999999992</v>
      </c>
      <c r="D13" s="36">
        <f aca="true" t="shared" si="4" ref="D13:K13">+SUM(D14:D15)</f>
        <v>958.4100000000001</v>
      </c>
      <c r="E13" s="37">
        <f t="shared" si="4"/>
        <v>0</v>
      </c>
      <c r="F13" s="37">
        <f t="shared" si="4"/>
        <v>185</v>
      </c>
      <c r="G13" s="37">
        <f t="shared" si="4"/>
        <v>-101.566</v>
      </c>
      <c r="H13" s="37">
        <f t="shared" si="4"/>
        <v>143.614</v>
      </c>
      <c r="I13" s="37">
        <f t="shared" si="4"/>
        <v>-134.64</v>
      </c>
      <c r="J13" s="37">
        <f t="shared" si="4"/>
        <v>-64.7</v>
      </c>
      <c r="K13" s="37">
        <f t="shared" si="4"/>
        <v>986.1180000000002</v>
      </c>
      <c r="L13" s="17">
        <f t="shared" si="3"/>
        <v>-0.025281021897810296</v>
      </c>
    </row>
    <row r="14" spans="1:12" ht="12.75" customHeight="1">
      <c r="A14" s="6" t="s">
        <v>112</v>
      </c>
      <c r="B14" s="41">
        <v>699</v>
      </c>
      <c r="C14" s="41">
        <f>+D14-B14</f>
        <v>-14.509999999999991</v>
      </c>
      <c r="D14" s="41">
        <f>109.06+499.45+35.41+40.57</f>
        <v>684.49</v>
      </c>
      <c r="E14" s="40">
        <f>+'[1]Summary- Policy and Comms merge'!$F$149</f>
        <v>0</v>
      </c>
      <c r="F14" s="40">
        <f>+'[1]Summary- Policy and Comms merge'!$F$151</f>
        <v>0</v>
      </c>
      <c r="G14" s="40">
        <f>+'[1]Summary- Policy and Comms merge'!$F$153</f>
        <v>-100.566</v>
      </c>
      <c r="H14" s="40">
        <f>+'[1]Summary- Policy and Comms merge'!$F$155</f>
        <v>-16.386000000000003</v>
      </c>
      <c r="I14" s="40">
        <f>+'[14]FC 40% Budget'!BH12</f>
        <v>-0.5</v>
      </c>
      <c r="J14" s="40">
        <f>+'[14]SR - 40% Budget'!BI12</f>
        <v>-64.7</v>
      </c>
      <c r="K14" s="40">
        <f>+SUM(D14:J14)</f>
        <v>502.338</v>
      </c>
      <c r="L14" s="19">
        <f t="shared" si="3"/>
        <v>0.2605894134477825</v>
      </c>
    </row>
    <row r="15" spans="1:14" ht="12.75">
      <c r="A15" s="10" t="s">
        <v>68</v>
      </c>
      <c r="B15" s="39">
        <v>397</v>
      </c>
      <c r="C15" s="39">
        <f>+D15-B15</f>
        <v>-123.07999999999998</v>
      </c>
      <c r="D15" s="39">
        <v>273.92</v>
      </c>
      <c r="E15" s="40">
        <f>(+'[1]Summary- Culture'!$F$150)</f>
        <v>0</v>
      </c>
      <c r="F15" s="40">
        <f>(+'[1]Summary- Culture'!$F$152)</f>
        <v>185</v>
      </c>
      <c r="G15" s="40">
        <f>(+'[1]Summary- Culture'!$F$154)</f>
        <v>-1</v>
      </c>
      <c r="H15" s="40">
        <f>(+'[1]Summary- Culture'!$F$156)</f>
        <v>160</v>
      </c>
      <c r="I15" s="40">
        <f>+'[14]FC 40% Budget'!BH13</f>
        <v>-134.14</v>
      </c>
      <c r="J15" s="40">
        <f>+'[14]SR - 40% Budget'!BI13</f>
        <v>0</v>
      </c>
      <c r="K15" s="40">
        <f>+SUM(D15:J15)</f>
        <v>483.7800000000001</v>
      </c>
      <c r="L15" s="19">
        <f t="shared" si="3"/>
        <v>-0.5286146095717886</v>
      </c>
      <c r="N15" s="12" t="s">
        <v>128</v>
      </c>
    </row>
    <row r="16" spans="1:12" ht="12.75">
      <c r="A16" s="27"/>
      <c r="B16" s="36"/>
      <c r="C16" s="36"/>
      <c r="D16" s="36"/>
      <c r="E16" s="37"/>
      <c r="F16" s="37"/>
      <c r="G16" s="37"/>
      <c r="H16" s="37"/>
      <c r="I16" s="37"/>
      <c r="J16" s="37"/>
      <c r="K16" s="37"/>
      <c r="L16" s="16"/>
    </row>
    <row r="17" spans="1:12" ht="12.75">
      <c r="A17" s="28" t="s">
        <v>35</v>
      </c>
      <c r="B17" s="36">
        <f>+SUM(B18:B21)</f>
        <v>-3386</v>
      </c>
      <c r="C17" s="36">
        <f>+D17-B17</f>
        <v>-168.22000000000025</v>
      </c>
      <c r="D17" s="36">
        <f>+SUM(D18:D21)</f>
        <v>-3554.2200000000003</v>
      </c>
      <c r="E17" s="37">
        <f aca="true" t="shared" si="5" ref="E17:K17">+SUM(E18:E21)</f>
        <v>0</v>
      </c>
      <c r="F17" s="37">
        <f t="shared" si="5"/>
        <v>123</v>
      </c>
      <c r="G17" s="37">
        <f t="shared" si="5"/>
        <v>-316.6</v>
      </c>
      <c r="H17" s="37">
        <f t="shared" si="5"/>
        <v>0</v>
      </c>
      <c r="I17" s="37">
        <f t="shared" si="5"/>
        <v>0</v>
      </c>
      <c r="J17" s="37">
        <f t="shared" si="5"/>
        <v>-8.5</v>
      </c>
      <c r="K17" s="37">
        <f t="shared" si="5"/>
        <v>-3756.3199999999997</v>
      </c>
      <c r="L17" s="17">
        <f t="shared" si="3"/>
        <v>-0.059686946249261505</v>
      </c>
    </row>
    <row r="18" spans="1:14" ht="12.75">
      <c r="A18" s="21" t="s">
        <v>85</v>
      </c>
      <c r="B18" s="41">
        <v>-6356</v>
      </c>
      <c r="C18" s="39">
        <f>+D18-B18</f>
        <v>-69.38000000000011</v>
      </c>
      <c r="D18" s="41">
        <f>+-6125.38-300</f>
        <v>-6425.38</v>
      </c>
      <c r="E18" s="42">
        <f>+'[8]Summary- Comn Property'!$F$154</f>
        <v>0</v>
      </c>
      <c r="F18" s="42">
        <f>+'[8]Summary- Comn Property'!$F$156</f>
        <v>101</v>
      </c>
      <c r="G18" s="42">
        <f>+'[8]Summary- Comn Property'!$F$158</f>
        <v>0</v>
      </c>
      <c r="H18" s="42">
        <f>+'[8]Summary- Comn Property'!$F$160</f>
        <v>0</v>
      </c>
      <c r="I18" s="42">
        <f>+'[14]FC 40% Budget'!BH19</f>
        <v>0</v>
      </c>
      <c r="J18" s="42">
        <f>+'[14]SR - 40% Budget'!BI19</f>
        <v>-8.5</v>
      </c>
      <c r="K18" s="40">
        <f>+SUM(D18:J18)</f>
        <v>-6332.88</v>
      </c>
      <c r="L18" s="19">
        <f t="shared" si="3"/>
        <v>0.014553178099433605</v>
      </c>
      <c r="N18" s="12" t="s">
        <v>122</v>
      </c>
    </row>
    <row r="19" spans="1:12" ht="12.75">
      <c r="A19" s="21" t="s">
        <v>86</v>
      </c>
      <c r="B19" s="41">
        <v>1367</v>
      </c>
      <c r="C19" s="39">
        <f>+D19-B19</f>
        <v>-16.589999999999918</v>
      </c>
      <c r="D19" s="41">
        <v>1350.41</v>
      </c>
      <c r="E19" s="42">
        <f>+'[8]Summary- Office Accom'!$F$151</f>
        <v>0</v>
      </c>
      <c r="F19" s="42">
        <f>+'[8]Summary- Office Accom'!$F$153</f>
        <v>0</v>
      </c>
      <c r="G19" s="42">
        <f>+'[8]Summary- Office Accom'!$F$155</f>
        <v>-109.60000000000001</v>
      </c>
      <c r="H19" s="42">
        <f>+'[8]Summary- Office Accom'!$F$157</f>
        <v>0</v>
      </c>
      <c r="I19" s="42">
        <f>+'[14]FC 40% Budget'!BH20</f>
        <v>0</v>
      </c>
      <c r="J19" s="42">
        <f>+'[14]SR - 40% Budget'!BI20</f>
        <v>0</v>
      </c>
      <c r="K19" s="40">
        <f>+SUM(D19:J19)</f>
        <v>1240.8100000000002</v>
      </c>
      <c r="L19" s="19">
        <f t="shared" si="3"/>
        <v>0.08017556693489386</v>
      </c>
    </row>
    <row r="20" spans="1:12" ht="12.75">
      <c r="A20" s="21" t="s">
        <v>88</v>
      </c>
      <c r="B20" s="41">
        <v>353</v>
      </c>
      <c r="C20" s="39">
        <f>+D20-B20</f>
        <v>-0.08999999999997499</v>
      </c>
      <c r="D20" s="41">
        <v>352.91</v>
      </c>
      <c r="E20" s="42">
        <f>+'[8]Summary- Prop Maint'!$F$151</f>
        <v>0</v>
      </c>
      <c r="F20" s="42">
        <f>+'[8]Summary- Prop Maint'!$F$153</f>
        <v>0</v>
      </c>
      <c r="G20" s="42">
        <f>+'[8]Summary- Prop Maint'!$F$155</f>
        <v>-62</v>
      </c>
      <c r="H20" s="42">
        <f>+'[8]Summary- Prop Maint'!$F$157</f>
        <v>0</v>
      </c>
      <c r="I20" s="42">
        <f>+'[14]FC 40% Budget'!BH21</f>
        <v>0</v>
      </c>
      <c r="J20" s="42">
        <f>+'[14]SR - 40% Budget'!BI21</f>
        <v>0</v>
      </c>
      <c r="K20" s="40">
        <f>+SUM(D20:J20)</f>
        <v>290.91</v>
      </c>
      <c r="L20" s="19">
        <f t="shared" si="3"/>
        <v>0.17563739376770537</v>
      </c>
    </row>
    <row r="21" spans="1:14" ht="12.75">
      <c r="A21" s="21" t="s">
        <v>110</v>
      </c>
      <c r="B21" s="41">
        <v>1250</v>
      </c>
      <c r="C21" s="39">
        <f>+D21-B21</f>
        <v>-82.16000000000008</v>
      </c>
      <c r="D21" s="41">
        <v>1167.84</v>
      </c>
      <c r="E21" s="42">
        <f>+'[8]Summary- Supp Servs'!$F$149</f>
        <v>0</v>
      </c>
      <c r="F21" s="42">
        <f>+'[8]Summary- Supp Servs'!$F$151</f>
        <v>22</v>
      </c>
      <c r="G21" s="42">
        <f>+'[8]Summary- Supp Servs'!$F$153</f>
        <v>-145</v>
      </c>
      <c r="H21" s="42">
        <f>+'[8]Summary- Supp Servs'!$F$155</f>
        <v>0</v>
      </c>
      <c r="I21" s="42">
        <f>+'[14]FC 40% Budget'!BH22</f>
        <v>0</v>
      </c>
      <c r="J21" s="42">
        <f>+'[14]SR - 40% Budget'!BI22</f>
        <v>0</v>
      </c>
      <c r="K21" s="40">
        <f>+SUM(D21:J21)</f>
        <v>1044.84</v>
      </c>
      <c r="L21" s="19">
        <f t="shared" si="3"/>
        <v>0.0984</v>
      </c>
      <c r="N21" s="12" t="s">
        <v>123</v>
      </c>
    </row>
    <row r="22" spans="1:12" ht="12.75">
      <c r="A22" s="27"/>
      <c r="B22" s="36"/>
      <c r="C22" s="36"/>
      <c r="D22" s="36"/>
      <c r="E22" s="37"/>
      <c r="F22" s="37"/>
      <c r="G22" s="37"/>
      <c r="H22" s="37"/>
      <c r="I22" s="37"/>
      <c r="J22" s="37"/>
      <c r="K22" s="37"/>
      <c r="L22" s="16"/>
    </row>
    <row r="23" spans="1:12" ht="12.75">
      <c r="A23" s="28" t="s">
        <v>115</v>
      </c>
      <c r="B23" s="36">
        <f aca="true" t="shared" si="6" ref="B23:K23">+SUM(B24:B43)</f>
        <v>7858</v>
      </c>
      <c r="C23" s="36">
        <f>+D23-B23</f>
        <v>-383</v>
      </c>
      <c r="D23" s="36">
        <f t="shared" si="6"/>
        <v>7475</v>
      </c>
      <c r="E23" s="37">
        <f t="shared" si="6"/>
        <v>0</v>
      </c>
      <c r="F23" s="37">
        <f t="shared" si="6"/>
        <v>36</v>
      </c>
      <c r="G23" s="37">
        <f t="shared" si="6"/>
        <v>-624</v>
      </c>
      <c r="H23" s="37">
        <f t="shared" si="6"/>
        <v>0</v>
      </c>
      <c r="I23" s="37">
        <f t="shared" si="6"/>
        <v>-59</v>
      </c>
      <c r="J23" s="37">
        <f t="shared" si="6"/>
        <v>-435.5</v>
      </c>
      <c r="K23" s="37">
        <f t="shared" si="6"/>
        <v>6392.5</v>
      </c>
      <c r="L23" s="17">
        <f t="shared" si="3"/>
        <v>0.13775769916009162</v>
      </c>
    </row>
    <row r="24" spans="1:12" ht="12.75">
      <c r="A24" s="11" t="s">
        <v>40</v>
      </c>
      <c r="B24" s="41">
        <v>174</v>
      </c>
      <c r="C24" s="39">
        <f aca="true" t="shared" si="7" ref="C24:C43">+D24-B24</f>
        <v>1</v>
      </c>
      <c r="D24" s="41">
        <v>175</v>
      </c>
      <c r="E24" s="42">
        <f>+'[13]Summary - Area Committees'!$F$150</f>
        <v>0</v>
      </c>
      <c r="F24" s="42">
        <f>+'[13]Summary - Area Committees'!$F$152</f>
        <v>0</v>
      </c>
      <c r="G24" s="42">
        <f>+'[13]Summary - Area Committees'!$F$154</f>
        <v>0</v>
      </c>
      <c r="H24" s="42">
        <f>+'[13]Summary - Area Committees'!$F$156</f>
        <v>0</v>
      </c>
      <c r="I24" s="42">
        <f>+'[14]FC 40% Budget'!BH25</f>
        <v>0</v>
      </c>
      <c r="J24" s="42">
        <f>+'[14]SR - 40% Budget'!BI30</f>
        <v>-103</v>
      </c>
      <c r="K24" s="40">
        <f aca="true" t="shared" si="8" ref="K24:K43">+SUM(D24:J24)</f>
        <v>72</v>
      </c>
      <c r="L24" s="19">
        <f t="shared" si="3"/>
        <v>0.5919540229885057</v>
      </c>
    </row>
    <row r="25" spans="1:12" ht="12.75">
      <c r="A25" s="11" t="s">
        <v>41</v>
      </c>
      <c r="B25" s="41">
        <v>194</v>
      </c>
      <c r="C25" s="39">
        <f t="shared" si="7"/>
        <v>-57</v>
      </c>
      <c r="D25" s="41">
        <v>137</v>
      </c>
      <c r="E25" s="42">
        <f>+'[13]Summary - NR Service'!$F$150</f>
        <v>0</v>
      </c>
      <c r="F25" s="42">
        <f>+'[13]Summary - NR Service'!$F$152</f>
        <v>0</v>
      </c>
      <c r="G25" s="42">
        <f>+'[13]Summary - NR Service'!$F$154</f>
        <v>-20</v>
      </c>
      <c r="H25" s="42">
        <f>+'[13]Summary - NR Service'!$F$156</f>
        <v>0</v>
      </c>
      <c r="I25" s="42">
        <f>+'[14]FC 40% Budget'!BH26</f>
        <v>0</v>
      </c>
      <c r="J25" s="42">
        <f>+'[14]SR - 40% Budget'!BI31</f>
        <v>0</v>
      </c>
      <c r="K25" s="40">
        <f t="shared" si="8"/>
        <v>117</v>
      </c>
      <c r="L25" s="19">
        <f t="shared" si="3"/>
        <v>0.10309278350515463</v>
      </c>
    </row>
    <row r="26" spans="1:12" ht="12.75">
      <c r="A26" s="11" t="s">
        <v>42</v>
      </c>
      <c r="B26" s="41">
        <v>7</v>
      </c>
      <c r="C26" s="39">
        <f t="shared" si="7"/>
        <v>0</v>
      </c>
      <c r="D26" s="41">
        <v>7</v>
      </c>
      <c r="E26" s="42">
        <f>+'[13]Summary - Sure Start'!$F$150</f>
        <v>0</v>
      </c>
      <c r="F26" s="42">
        <f>+'[13]Summary - Sure Start'!$F$152</f>
        <v>0</v>
      </c>
      <c r="G26" s="42">
        <f>+'[13]Summary - Sure Start'!$F$154</f>
        <v>0</v>
      </c>
      <c r="H26" s="42">
        <f>+'[13]Summary - Sure Start'!$F$156</f>
        <v>0</v>
      </c>
      <c r="I26" s="42">
        <f>+'[14]FC 40% Budget'!BH27</f>
        <v>0</v>
      </c>
      <c r="J26" s="42">
        <f>+'[14]SR - 40% Budget'!BI32</f>
        <v>-7</v>
      </c>
      <c r="K26" s="40">
        <f t="shared" si="8"/>
        <v>0</v>
      </c>
      <c r="L26" s="19">
        <f t="shared" si="3"/>
        <v>1</v>
      </c>
    </row>
    <row r="27" spans="1:12" ht="12.75">
      <c r="A27" s="11" t="s">
        <v>108</v>
      </c>
      <c r="B27" s="41">
        <v>604</v>
      </c>
      <c r="C27" s="39">
        <f t="shared" si="7"/>
        <v>-4</v>
      </c>
      <c r="D27" s="41">
        <v>600</v>
      </c>
      <c r="E27" s="42">
        <f>+'[13]Summary - C&amp;N Team '!$F$150</f>
        <v>0</v>
      </c>
      <c r="F27" s="42">
        <f>+'[13]Summary - C&amp;N Team '!$F$152</f>
        <v>0</v>
      </c>
      <c r="G27" s="42">
        <f>+'[13]Summary - C&amp;N Team '!$F$154</f>
        <v>0</v>
      </c>
      <c r="H27" s="42">
        <f>+'[13]Summary - C&amp;N Team '!$F$156</f>
        <v>0</v>
      </c>
      <c r="I27" s="42">
        <f>+'[14]FC 40% Budget'!BH28</f>
        <v>0</v>
      </c>
      <c r="J27" s="42">
        <f>+'[14]SR - 40% Budget'!BI33</f>
        <v>0</v>
      </c>
      <c r="K27" s="40">
        <f t="shared" si="8"/>
        <v>600</v>
      </c>
      <c r="L27" s="19">
        <f t="shared" si="3"/>
        <v>0</v>
      </c>
    </row>
    <row r="28" spans="1:14" ht="12.75">
      <c r="A28" s="11" t="s">
        <v>43</v>
      </c>
      <c r="B28" s="41">
        <v>1694</v>
      </c>
      <c r="C28" s="39">
        <f t="shared" si="7"/>
        <v>-170</v>
      </c>
      <c r="D28" s="41">
        <v>1524</v>
      </c>
      <c r="E28" s="42">
        <f>+'[13]Summary - Grants'!$F$150</f>
        <v>0</v>
      </c>
      <c r="F28" s="42">
        <f>+'[13]Summary - Grants'!$F$152</f>
        <v>0</v>
      </c>
      <c r="G28" s="42">
        <f>+'[13]Summary - Grants'!$F$154</f>
        <v>0</v>
      </c>
      <c r="H28" s="42">
        <f>+'[13]Summary - Grants'!$F$156</f>
        <v>0</v>
      </c>
      <c r="I28" s="42">
        <f>+'[14]FC 40% Budget'!BH29</f>
        <v>0</v>
      </c>
      <c r="J28" s="42">
        <f>+'[14]SR - 40% Budget'!BI34</f>
        <v>-80</v>
      </c>
      <c r="K28" s="40">
        <f t="shared" si="8"/>
        <v>1444</v>
      </c>
      <c r="L28" s="19">
        <f t="shared" si="3"/>
        <v>0.047225501770956316</v>
      </c>
      <c r="N28" s="12" t="s">
        <v>131</v>
      </c>
    </row>
    <row r="29" spans="1:12" ht="12.75">
      <c r="A29" s="11" t="s">
        <v>83</v>
      </c>
      <c r="B29" s="41">
        <v>150</v>
      </c>
      <c r="C29" s="39">
        <f t="shared" si="7"/>
        <v>0</v>
      </c>
      <c r="D29" s="41">
        <v>150</v>
      </c>
      <c r="E29" s="42">
        <f>+'[13]Summary - Comm Hsg M''ment'!$F$150</f>
        <v>0</v>
      </c>
      <c r="F29" s="42">
        <f>+'[13]Summary - Comm Hsg M''ment'!$F$152</f>
        <v>0</v>
      </c>
      <c r="G29" s="42">
        <f>+'[13]Summary - Comm Hsg M''ment'!$F$154</f>
        <v>-42</v>
      </c>
      <c r="H29" s="42">
        <f>+'[13]Summary - Comm Hsg M''ment'!$F$156</f>
        <v>0</v>
      </c>
      <c r="I29" s="42">
        <f>+'[14]FC 40% Budget'!BH30</f>
        <v>0</v>
      </c>
      <c r="J29" s="42">
        <f>+'[14]SR - 40% Budget'!BI35</f>
        <v>0</v>
      </c>
      <c r="K29" s="40">
        <f t="shared" si="8"/>
        <v>108</v>
      </c>
      <c r="L29" s="19">
        <f t="shared" si="3"/>
        <v>0.28</v>
      </c>
    </row>
    <row r="30" spans="1:12" ht="12.75">
      <c r="A30" s="11" t="s">
        <v>109</v>
      </c>
      <c r="B30" s="41">
        <v>265</v>
      </c>
      <c r="C30" s="39">
        <f t="shared" si="7"/>
        <v>-1</v>
      </c>
      <c r="D30" s="41">
        <v>264</v>
      </c>
      <c r="E30" s="42">
        <f>+'[13]Summary - Strategy &amp; Enabling '!$F$150</f>
        <v>0</v>
      </c>
      <c r="F30" s="42">
        <f>+'[13]Summary - Strategy &amp; Enabling '!$F$152</f>
        <v>0</v>
      </c>
      <c r="G30" s="42">
        <f>+'[13]Summary - Strategy &amp; Enabling '!$F$154</f>
        <v>-10</v>
      </c>
      <c r="H30" s="42">
        <f>+'[13]Summary - Strategy &amp; Enabling '!$F$156</f>
        <v>0</v>
      </c>
      <c r="I30" s="42">
        <f>+'[14]FC 40% Budget'!BH31</f>
        <v>0</v>
      </c>
      <c r="J30" s="42">
        <f>+'[14]SR - 40% Budget'!BI36</f>
        <v>0</v>
      </c>
      <c r="K30" s="40">
        <f t="shared" si="8"/>
        <v>254</v>
      </c>
      <c r="L30" s="19">
        <f t="shared" si="3"/>
        <v>0.03773584905660377</v>
      </c>
    </row>
    <row r="31" spans="1:12" ht="12.75">
      <c r="A31" s="11" t="s">
        <v>44</v>
      </c>
      <c r="B31" s="41">
        <v>165</v>
      </c>
      <c r="C31" s="39">
        <f t="shared" si="7"/>
        <v>-30</v>
      </c>
      <c r="D31" s="41">
        <v>135</v>
      </c>
      <c r="E31" s="42">
        <f>+'[13]Summary - Holiday Activities '!$F$150</f>
        <v>0</v>
      </c>
      <c r="F31" s="42">
        <f>+'[13]Summary - Holiday Activities '!$F$152</f>
        <v>0</v>
      </c>
      <c r="G31" s="42">
        <f>+'[13]Summary - Holiday Activities '!$F$154</f>
        <v>-15</v>
      </c>
      <c r="H31" s="42">
        <f>+'[13]Summary - Holiday Activities '!$F$156</f>
        <v>0</v>
      </c>
      <c r="I31" s="42">
        <f>+'[14]FC 40% Budget'!BH32</f>
        <v>0</v>
      </c>
      <c r="J31" s="42">
        <f>+'[14]SR - 40% Budget'!BI37</f>
        <v>0</v>
      </c>
      <c r="K31" s="40">
        <f t="shared" si="8"/>
        <v>120</v>
      </c>
      <c r="L31" s="19">
        <f t="shared" si="3"/>
        <v>0.09090909090909091</v>
      </c>
    </row>
    <row r="32" spans="1:12" ht="12.75">
      <c r="A32" s="11" t="s">
        <v>45</v>
      </c>
      <c r="B32" s="41">
        <v>383</v>
      </c>
      <c r="C32" s="39">
        <f t="shared" si="7"/>
        <v>-2</v>
      </c>
      <c r="D32" s="41">
        <v>381</v>
      </c>
      <c r="E32" s="42">
        <f>+'[13]Summary - St Wardens'!$F$150</f>
        <v>0</v>
      </c>
      <c r="F32" s="42">
        <f>+'[13]Summary - St Wardens'!$F$152</f>
        <v>36</v>
      </c>
      <c r="G32" s="42">
        <f>+'[13]Summary - St Wardens'!$F$154</f>
        <v>0</v>
      </c>
      <c r="H32" s="42">
        <f>+'[13]Summary - St Wardens'!$F$156</f>
        <v>0</v>
      </c>
      <c r="I32" s="42">
        <f>+'[14]FC 40% Budget'!BH33</f>
        <v>0</v>
      </c>
      <c r="J32" s="42">
        <f>+'[14]SR - 40% Budget'!BI38</f>
        <v>-54</v>
      </c>
      <c r="K32" s="40">
        <f t="shared" si="8"/>
        <v>363</v>
      </c>
      <c r="L32" s="19">
        <f t="shared" si="3"/>
        <v>0.04699738903394256</v>
      </c>
    </row>
    <row r="33" spans="1:12" ht="12.75">
      <c r="A33" s="11" t="s">
        <v>46</v>
      </c>
      <c r="B33" s="41">
        <v>183</v>
      </c>
      <c r="C33" s="39">
        <f t="shared" si="7"/>
        <v>0</v>
      </c>
      <c r="D33" s="41">
        <v>183</v>
      </c>
      <c r="E33" s="42">
        <f>+'[13]Summary - CCTV'!$F$150</f>
        <v>0</v>
      </c>
      <c r="F33" s="42">
        <f>+'[13]Summary - CCTV'!$F$152</f>
        <v>0</v>
      </c>
      <c r="G33" s="42">
        <f>+'[13]Summary - CCTV'!$F$154</f>
        <v>-39</v>
      </c>
      <c r="H33" s="42">
        <f>+'[13]Summary - CCTV'!$F$156</f>
        <v>0</v>
      </c>
      <c r="I33" s="42">
        <f>+'[14]FC 40% Budget'!BH34</f>
        <v>0</v>
      </c>
      <c r="J33" s="42">
        <f>+'[14]SR - 40% Budget'!BI39</f>
        <v>0</v>
      </c>
      <c r="K33" s="40">
        <f t="shared" si="8"/>
        <v>144</v>
      </c>
      <c r="L33" s="19">
        <f t="shared" si="3"/>
        <v>0.21311475409836064</v>
      </c>
    </row>
    <row r="34" spans="1:12" ht="12.75">
      <c r="A34" s="11" t="s">
        <v>47</v>
      </c>
      <c r="B34" s="41">
        <v>262</v>
      </c>
      <c r="C34" s="39">
        <f t="shared" si="7"/>
        <v>-1</v>
      </c>
      <c r="D34" s="41">
        <v>261</v>
      </c>
      <c r="E34" s="42">
        <f>+'[13]Summary - Crime Strategy'!$F$150</f>
        <v>0</v>
      </c>
      <c r="F34" s="42">
        <f>+'[13]Summary - Crime Strategy'!$F$152</f>
        <v>0</v>
      </c>
      <c r="G34" s="42">
        <f>+'[13]Summary - Crime Strategy'!$F$154</f>
        <v>-8</v>
      </c>
      <c r="H34" s="42">
        <f>+'[13]Summary - Crime Strategy'!$F$156</f>
        <v>0</v>
      </c>
      <c r="I34" s="42">
        <f>+'[14]FC 40% Budget'!BH35</f>
        <v>-59</v>
      </c>
      <c r="J34" s="42">
        <f>+'[14]SR - 40% Budget'!BI40</f>
        <v>0</v>
      </c>
      <c r="K34" s="40">
        <f t="shared" si="8"/>
        <v>194</v>
      </c>
      <c r="L34" s="19">
        <f t="shared" si="3"/>
        <v>0.25572519083969464</v>
      </c>
    </row>
    <row r="35" spans="1:12" ht="12.75">
      <c r="A35" s="11" t="s">
        <v>48</v>
      </c>
      <c r="B35" s="41">
        <v>129</v>
      </c>
      <c r="C35" s="39">
        <f t="shared" si="7"/>
        <v>0</v>
      </c>
      <c r="D35" s="41">
        <v>129</v>
      </c>
      <c r="E35" s="42">
        <f>+'[13]Summary - PCSOs'!$F$150</f>
        <v>0</v>
      </c>
      <c r="F35" s="42">
        <f>+'[13]Summary - PCSOs'!$F$152</f>
        <v>0</v>
      </c>
      <c r="G35" s="42">
        <f>+'[13]Summary - PCSOs'!$F$154</f>
        <v>0</v>
      </c>
      <c r="H35" s="42">
        <f>+'[13]Summary - PCSOs'!$F$156</f>
        <v>0</v>
      </c>
      <c r="I35" s="42">
        <f>+'[14]FC 40% Budget'!BH36</f>
        <v>0</v>
      </c>
      <c r="J35" s="42">
        <f>+'[14]SR - 40% Budget'!BI41</f>
        <v>-61.5</v>
      </c>
      <c r="K35" s="40">
        <f t="shared" si="8"/>
        <v>67.5</v>
      </c>
      <c r="L35" s="19">
        <f t="shared" si="3"/>
        <v>0.47674418604651164</v>
      </c>
    </row>
    <row r="36" spans="1:12" ht="12.75">
      <c r="A36" s="11" t="s">
        <v>49</v>
      </c>
      <c r="B36" s="41">
        <v>267</v>
      </c>
      <c r="C36" s="39">
        <f t="shared" si="7"/>
        <v>-2</v>
      </c>
      <c r="D36" s="41">
        <v>265</v>
      </c>
      <c r="E36" s="42">
        <f>+'[13]Summary - Canact'!$F$150</f>
        <v>0</v>
      </c>
      <c r="F36" s="42">
        <f>+'[13]Summary - Canact'!$F$152</f>
        <v>0</v>
      </c>
      <c r="G36" s="42">
        <f>+'[13]Summary - Canact'!$F$154</f>
        <v>-132</v>
      </c>
      <c r="H36" s="42">
        <f>+'[13]Summary - Canact'!$F$156</f>
        <v>0</v>
      </c>
      <c r="I36" s="42">
        <f>+'[14]FC 40% Budget'!BH37</f>
        <v>0</v>
      </c>
      <c r="J36" s="42">
        <f>+'[14]SR - 40% Budget'!BI42</f>
        <v>0</v>
      </c>
      <c r="K36" s="40">
        <f t="shared" si="8"/>
        <v>133</v>
      </c>
      <c r="L36" s="19">
        <f t="shared" si="3"/>
        <v>0.4943820224719101</v>
      </c>
    </row>
    <row r="37" spans="1:12" ht="12.75">
      <c r="A37" s="11" t="s">
        <v>50</v>
      </c>
      <c r="B37" s="41">
        <v>448</v>
      </c>
      <c r="C37" s="39">
        <f t="shared" si="7"/>
        <v>-139</v>
      </c>
      <c r="D37" s="41">
        <v>309</v>
      </c>
      <c r="E37" s="42">
        <f>+'[13]Summary- Homelessness'!$F$150</f>
        <v>0</v>
      </c>
      <c r="F37" s="42">
        <f>+'[13]Summary- Homelessness'!$F$152</f>
        <v>0</v>
      </c>
      <c r="G37" s="42">
        <f>+'[13]Summary- Homelessness'!$F$154</f>
        <v>-29</v>
      </c>
      <c r="H37" s="42">
        <f>+'[13]Summary- Homelessness'!$F$156</f>
        <v>0</v>
      </c>
      <c r="I37" s="42">
        <f>+'[14]FC 40% Budget'!BH38</f>
        <v>0</v>
      </c>
      <c r="J37" s="42">
        <f>+'[14]SR - 40% Budget'!BI43</f>
        <v>0</v>
      </c>
      <c r="K37" s="40">
        <f t="shared" si="8"/>
        <v>280</v>
      </c>
      <c r="L37" s="19">
        <f t="shared" si="3"/>
        <v>0.06473214285714286</v>
      </c>
    </row>
    <row r="38" spans="1:12" ht="12.75">
      <c r="A38" s="11" t="s">
        <v>51</v>
      </c>
      <c r="B38" s="41">
        <v>673</v>
      </c>
      <c r="C38" s="39">
        <f t="shared" si="7"/>
        <v>34</v>
      </c>
      <c r="D38" s="41">
        <f>710-3</f>
        <v>707</v>
      </c>
      <c r="E38" s="42">
        <f>+'[13]Summary- Private Lease'!$F$150</f>
        <v>0</v>
      </c>
      <c r="F38" s="42">
        <f>+'[13]Summary- Private Lease'!$F$152</f>
        <v>0</v>
      </c>
      <c r="G38" s="42">
        <f>+'[13]Summary- Private Lease'!$F$154</f>
        <v>-262</v>
      </c>
      <c r="H38" s="42">
        <f>+'[13]Summary- Private Lease'!$F$156</f>
        <v>0</v>
      </c>
      <c r="I38" s="42">
        <f>+'[14]FC 40% Budget'!BH39</f>
        <v>0</v>
      </c>
      <c r="J38" s="42">
        <f>+'[14]SR - 40% Budget'!BI44</f>
        <v>0</v>
      </c>
      <c r="K38" s="40">
        <f t="shared" si="8"/>
        <v>445</v>
      </c>
      <c r="L38" s="19">
        <f t="shared" si="3"/>
        <v>0.38930163447251115</v>
      </c>
    </row>
    <row r="39" spans="1:12" ht="12.75">
      <c r="A39" s="11" t="s">
        <v>52</v>
      </c>
      <c r="B39" s="41">
        <v>541</v>
      </c>
      <c r="C39" s="39">
        <f t="shared" si="7"/>
        <v>-1</v>
      </c>
      <c r="D39" s="41">
        <v>540</v>
      </c>
      <c r="E39" s="42">
        <f>+'[13]Summary- Home Choice'!$F$150</f>
        <v>0</v>
      </c>
      <c r="F39" s="42">
        <f>+'[13]Summary- Home Choice'!$F$152</f>
        <v>0</v>
      </c>
      <c r="G39" s="42">
        <f>+'[13]Summary- Home Choice'!$F$154</f>
        <v>0</v>
      </c>
      <c r="H39" s="42">
        <f>+'[13]Summary- Home Choice'!$F$156</f>
        <v>0</v>
      </c>
      <c r="I39" s="42">
        <f>+'[14]FC 40% Budget'!BH40</f>
        <v>0</v>
      </c>
      <c r="J39" s="42">
        <f>+'[14]SR - 40% Budget'!BI45</f>
        <v>0</v>
      </c>
      <c r="K39" s="40">
        <f t="shared" si="8"/>
        <v>540</v>
      </c>
      <c r="L39" s="19">
        <f t="shared" si="3"/>
        <v>0</v>
      </c>
    </row>
    <row r="40" spans="1:12" ht="12.75">
      <c r="A40" s="11" t="s">
        <v>53</v>
      </c>
      <c r="B40" s="41">
        <v>93</v>
      </c>
      <c r="C40" s="39">
        <f t="shared" si="7"/>
        <v>0</v>
      </c>
      <c r="D40" s="41">
        <v>93</v>
      </c>
      <c r="E40" s="42">
        <f>+'[13]Summary- Housing Advice'!$F$150</f>
        <v>0</v>
      </c>
      <c r="F40" s="42">
        <f>+'[13]Summary- Housing Advice'!$F$152</f>
        <v>0</v>
      </c>
      <c r="G40" s="42">
        <f>+'[13]Summary- Housing Advice'!$F$154</f>
        <v>0</v>
      </c>
      <c r="H40" s="42">
        <f>+'[13]Summary- Housing Advice'!$F$156</f>
        <v>0</v>
      </c>
      <c r="I40" s="42">
        <f>+'[14]FC 40% Budget'!BH41</f>
        <v>0</v>
      </c>
      <c r="J40" s="42">
        <f>+'[14]SR - 40% Budget'!BI46</f>
        <v>-13</v>
      </c>
      <c r="K40" s="40">
        <f t="shared" si="8"/>
        <v>80</v>
      </c>
      <c r="L40" s="19">
        <f t="shared" si="3"/>
        <v>0.13978494623655913</v>
      </c>
    </row>
    <row r="41" spans="1:12" ht="12.75">
      <c r="A41" s="11" t="s">
        <v>54</v>
      </c>
      <c r="B41" s="41">
        <v>1417</v>
      </c>
      <c r="C41" s="39">
        <f t="shared" si="7"/>
        <v>-6</v>
      </c>
      <c r="D41" s="41">
        <v>1411</v>
      </c>
      <c r="E41" s="42">
        <f>+'[13]Summary- Housing Options'!$F$150</f>
        <v>0</v>
      </c>
      <c r="F41" s="42">
        <f>+'[13]Summary- Housing Options'!$F$152</f>
        <v>0</v>
      </c>
      <c r="G41" s="42">
        <f>+'[13]Summary- Housing Options'!$F$154</f>
        <v>-67</v>
      </c>
      <c r="H41" s="42">
        <f>+'[13]Summary- Housing Options'!$F$156</f>
        <v>0</v>
      </c>
      <c r="I41" s="42">
        <f>+'[14]FC 40% Budget'!BH42</f>
        <v>0</v>
      </c>
      <c r="J41" s="42">
        <f>+'[14]SR - 40% Budget'!BI47</f>
        <v>0</v>
      </c>
      <c r="K41" s="40">
        <f t="shared" si="8"/>
        <v>1344</v>
      </c>
      <c r="L41" s="19">
        <f t="shared" si="3"/>
        <v>0.04728299223712068</v>
      </c>
    </row>
    <row r="42" spans="1:12" ht="12.75">
      <c r="A42" s="11" t="s">
        <v>55</v>
      </c>
      <c r="B42" s="41">
        <v>88</v>
      </c>
      <c r="C42" s="39">
        <f t="shared" si="7"/>
        <v>-1</v>
      </c>
      <c r="D42" s="41">
        <v>87</v>
      </c>
      <c r="E42" s="42">
        <f>+'[13]Summary- Single Homeless'!$F$153</f>
        <v>0</v>
      </c>
      <c r="F42" s="42">
        <f>+'[13]Summary- Single Homeless'!$F$155</f>
        <v>0</v>
      </c>
      <c r="G42" s="42">
        <f>+'[13]Summary- Single Homeless'!$F$157:$G$157</f>
        <v>0</v>
      </c>
      <c r="H42" s="42">
        <f>+'[13]Summary- Single Homeless'!$F$159</f>
        <v>0</v>
      </c>
      <c r="I42" s="42">
        <f>+'[14]FC 40% Budget'!BH43</f>
        <v>0</v>
      </c>
      <c r="J42" s="42">
        <f>+'[14]SR - 40% Budget'!BI48</f>
        <v>0</v>
      </c>
      <c r="K42" s="40">
        <f t="shared" si="8"/>
        <v>87</v>
      </c>
      <c r="L42" s="19">
        <f t="shared" si="3"/>
        <v>0</v>
      </c>
    </row>
    <row r="43" spans="1:12" ht="12.75">
      <c r="A43" s="11" t="s">
        <v>56</v>
      </c>
      <c r="B43" s="41">
        <v>121</v>
      </c>
      <c r="C43" s="39">
        <f t="shared" si="7"/>
        <v>-4</v>
      </c>
      <c r="D43" s="41">
        <v>117</v>
      </c>
      <c r="E43" s="42">
        <f>+'[13]Summary- Elderly Services'!$F$150</f>
        <v>0</v>
      </c>
      <c r="F43" s="42">
        <f>+'[13]Summary- Elderly Services'!$F$152</f>
        <v>0</v>
      </c>
      <c r="G43" s="42">
        <f>+'[13]Summary- Elderly Services'!$F$154</f>
        <v>0</v>
      </c>
      <c r="H43" s="42">
        <f>+'[13]Summary- Elderly Services'!$F$156</f>
        <v>0</v>
      </c>
      <c r="I43" s="42">
        <f>+'[14]FC 40% Budget'!BH44</f>
        <v>0</v>
      </c>
      <c r="J43" s="42">
        <f>+'[14]SR - 40% Budget'!BI49</f>
        <v>-117</v>
      </c>
      <c r="K43" s="40">
        <f t="shared" si="8"/>
        <v>0</v>
      </c>
      <c r="L43" s="19">
        <f t="shared" si="3"/>
        <v>0.9669421487603306</v>
      </c>
    </row>
    <row r="44" spans="1:12" ht="12.75">
      <c r="A44" s="29"/>
      <c r="B44" s="43"/>
      <c r="C44" s="43"/>
      <c r="D44" s="43"/>
      <c r="E44" s="44"/>
      <c r="F44" s="44"/>
      <c r="G44" s="44"/>
      <c r="H44" s="44"/>
      <c r="I44" s="44"/>
      <c r="J44" s="44"/>
      <c r="K44" s="44"/>
      <c r="L44" s="20"/>
    </row>
    <row r="45" spans="1:12" ht="12.75">
      <c r="A45" s="25" t="s">
        <v>36</v>
      </c>
      <c r="B45" s="34">
        <f>+B47+B54+B56</f>
        <v>5988</v>
      </c>
      <c r="C45" s="34">
        <f>+D45-B45</f>
        <v>-1581.2600000000002</v>
      </c>
      <c r="D45" s="34">
        <f>+D47+D54+D56</f>
        <v>4406.74</v>
      </c>
      <c r="E45" s="35">
        <f aca="true" t="shared" si="9" ref="E45:K45">+E47+E54+E56</f>
        <v>16</v>
      </c>
      <c r="F45" s="35">
        <f t="shared" si="9"/>
        <v>278.5</v>
      </c>
      <c r="G45" s="35">
        <f t="shared" si="9"/>
        <v>-289.59000000000003</v>
      </c>
      <c r="H45" s="35">
        <f t="shared" si="9"/>
        <v>185</v>
      </c>
      <c r="I45" s="35">
        <f t="shared" si="9"/>
        <v>-10</v>
      </c>
      <c r="J45" s="35">
        <f t="shared" si="9"/>
        <v>-49.2</v>
      </c>
      <c r="K45" s="35">
        <f t="shared" si="9"/>
        <v>4537.45</v>
      </c>
      <c r="L45" s="15">
        <f t="shared" si="3"/>
        <v>-0.021828657314629265</v>
      </c>
    </row>
    <row r="46" spans="1:12" ht="12.75">
      <c r="A46" s="26"/>
      <c r="B46" s="36"/>
      <c r="C46" s="36"/>
      <c r="D46" s="36"/>
      <c r="E46" s="37"/>
      <c r="F46" s="37"/>
      <c r="G46" s="37"/>
      <c r="H46" s="37"/>
      <c r="I46" s="37"/>
      <c r="J46" s="37"/>
      <c r="K46" s="37"/>
      <c r="L46" s="16"/>
    </row>
    <row r="47" spans="1:12" ht="12.75">
      <c r="A47" s="26" t="s">
        <v>7</v>
      </c>
      <c r="B47" s="36">
        <f>+SUM(B48:B52)</f>
        <v>3659</v>
      </c>
      <c r="C47" s="36">
        <f aca="true" t="shared" si="10" ref="C47:C52">+D47-B47</f>
        <v>-1479.5700000000002</v>
      </c>
      <c r="D47" s="36">
        <f>+SUM(D48:D52)</f>
        <v>2179.43</v>
      </c>
      <c r="E47" s="38">
        <f aca="true" t="shared" si="11" ref="E47:K47">+SUM(E48:E52)</f>
        <v>0</v>
      </c>
      <c r="F47" s="38">
        <f t="shared" si="11"/>
        <v>5.5</v>
      </c>
      <c r="G47" s="38">
        <f t="shared" si="11"/>
        <v>-106.59</v>
      </c>
      <c r="H47" s="38">
        <f t="shared" si="11"/>
        <v>170</v>
      </c>
      <c r="I47" s="38">
        <f t="shared" si="11"/>
        <v>0</v>
      </c>
      <c r="J47" s="38">
        <f t="shared" si="11"/>
        <v>-49.2</v>
      </c>
      <c r="K47" s="38">
        <f t="shared" si="11"/>
        <v>2199.14</v>
      </c>
      <c r="L47" s="17">
        <f t="shared" si="3"/>
        <v>-0.005386717682426902</v>
      </c>
    </row>
    <row r="48" spans="1:12" ht="12.75">
      <c r="A48" s="10" t="s">
        <v>9</v>
      </c>
      <c r="B48" s="41">
        <v>1358</v>
      </c>
      <c r="C48" s="39">
        <f t="shared" si="10"/>
        <v>-38.069999999999936</v>
      </c>
      <c r="D48" s="41">
        <v>1319.93</v>
      </c>
      <c r="E48" s="42">
        <f>(+'[12]Summary- Accountancy'!$F$150)</f>
        <v>0</v>
      </c>
      <c r="F48" s="42">
        <f>(+'[12]Summary- Accountancy'!$F$152)</f>
        <v>0</v>
      </c>
      <c r="G48" s="42">
        <f>(+'[12]Summary- Accountancy'!$F$154)</f>
        <v>-50</v>
      </c>
      <c r="H48" s="42">
        <f>(+'[12]Summary- Accountancy'!$F$156)</f>
        <v>170</v>
      </c>
      <c r="I48" s="42">
        <f>+'[14]FC 40% Budget'!BH49</f>
        <v>0</v>
      </c>
      <c r="J48" s="42">
        <f>+'[14]SR - 40% Budget'!BI54</f>
        <v>0</v>
      </c>
      <c r="K48" s="40">
        <f aca="true" t="shared" si="12" ref="K48:K54">+SUM(D48:J48)</f>
        <v>1439.93</v>
      </c>
      <c r="L48" s="18">
        <f t="shared" si="3"/>
        <v>-0.08836524300441827</v>
      </c>
    </row>
    <row r="49" spans="1:12" ht="12.75">
      <c r="A49" s="10" t="s">
        <v>11</v>
      </c>
      <c r="B49" s="41">
        <v>156</v>
      </c>
      <c r="C49" s="39">
        <f t="shared" si="10"/>
        <v>0.05000000000001137</v>
      </c>
      <c r="D49" s="41">
        <v>156.05</v>
      </c>
      <c r="E49" s="42">
        <v>0</v>
      </c>
      <c r="F49" s="42">
        <f>(+'[12]Summary- Internal Audit'!$F$151)</f>
        <v>0</v>
      </c>
      <c r="G49" s="42">
        <f>(+'[12]Summary- Internal Audit'!$F$153)</f>
        <v>-20</v>
      </c>
      <c r="H49" s="42">
        <f>(+'[12]Summary- Internal Audit'!$F$155)</f>
        <v>0</v>
      </c>
      <c r="I49" s="42">
        <f>+'[14]FC 40% Budget'!BH50</f>
        <v>0</v>
      </c>
      <c r="J49" s="42">
        <f>+'[14]SR - 40% Budget'!BI55</f>
        <v>0</v>
      </c>
      <c r="K49" s="40">
        <f t="shared" si="12"/>
        <v>136.05</v>
      </c>
      <c r="L49" s="18">
        <f t="shared" si="3"/>
        <v>0.1282051282051282</v>
      </c>
    </row>
    <row r="50" spans="1:14" ht="12.75">
      <c r="A50" s="10" t="s">
        <v>12</v>
      </c>
      <c r="B50" s="41">
        <v>1507</v>
      </c>
      <c r="C50" s="39">
        <f t="shared" si="10"/>
        <v>-1440.48</v>
      </c>
      <c r="D50" s="41">
        <v>66.52</v>
      </c>
      <c r="E50" s="42">
        <f>(+'[12]Summary- Con Bus Fares'!$F$148)</f>
        <v>0</v>
      </c>
      <c r="F50" s="42">
        <f>(+'[12]Summary- Con Bus Fares'!$F$150)</f>
        <v>0</v>
      </c>
      <c r="G50" s="42">
        <f>(+'[12]Summary- Con Bus Fares'!$F$152)</f>
        <v>0</v>
      </c>
      <c r="H50" s="42">
        <f>(+'[12]Summary- Con Bus Fares'!$F$154)</f>
        <v>0</v>
      </c>
      <c r="I50" s="42">
        <f>+'[14]FC 40% Budget'!BH51</f>
        <v>0</v>
      </c>
      <c r="J50" s="42">
        <f>+'[14]SR - 40% Budget'!BI56</f>
        <v>0</v>
      </c>
      <c r="K50" s="40">
        <f t="shared" si="12"/>
        <v>66.52</v>
      </c>
      <c r="L50" s="18">
        <f t="shared" si="3"/>
        <v>0</v>
      </c>
      <c r="N50" s="12" t="s">
        <v>125</v>
      </c>
    </row>
    <row r="51" spans="1:12" ht="12.75">
      <c r="A51" s="10" t="s">
        <v>8</v>
      </c>
      <c r="B51" s="41">
        <v>492</v>
      </c>
      <c r="C51" s="39">
        <f t="shared" si="10"/>
        <v>-0.5</v>
      </c>
      <c r="D51" s="41">
        <v>491.5</v>
      </c>
      <c r="E51" s="42">
        <f>(+'[12]Summary- Corp Finance'!$F$147)</f>
        <v>0</v>
      </c>
      <c r="F51" s="42">
        <f>(+'[12]Summary- Corp Finance'!$F$149)</f>
        <v>0</v>
      </c>
      <c r="G51" s="42">
        <f>(+'[12]Summary- Corp Finance'!$F$151)</f>
        <v>-16.59</v>
      </c>
      <c r="H51" s="42">
        <f>(+'[12]Summary- Corp Finance'!$F$153)</f>
        <v>0</v>
      </c>
      <c r="I51" s="42">
        <f>+'[14]FC 40% Budget'!BH52</f>
        <v>0</v>
      </c>
      <c r="J51" s="42">
        <f>+'[14]SR - 40% Budget'!BI57</f>
        <v>-49.2</v>
      </c>
      <c r="K51" s="40">
        <f t="shared" si="12"/>
        <v>425.71000000000004</v>
      </c>
      <c r="L51" s="18">
        <f t="shared" si="3"/>
        <v>0.13371951219512188</v>
      </c>
    </row>
    <row r="52" spans="1:12" ht="12.75">
      <c r="A52" s="10" t="s">
        <v>13</v>
      </c>
      <c r="B52" s="41">
        <v>146</v>
      </c>
      <c r="C52" s="39">
        <f t="shared" si="10"/>
        <v>-0.5699999999999932</v>
      </c>
      <c r="D52" s="41">
        <v>145.43</v>
      </c>
      <c r="E52" s="42">
        <f>(+'[12]Summary- Investigations'!$F$149)</f>
        <v>0</v>
      </c>
      <c r="F52" s="42">
        <f>(+'[12]Summary- Investigations'!$F$151)</f>
        <v>5.5</v>
      </c>
      <c r="G52" s="42">
        <f>(+'[12]Summary- Investigations'!$F$153)</f>
        <v>-20</v>
      </c>
      <c r="H52" s="42">
        <f>(+'[12]Summary- Investigations'!$F$155)</f>
        <v>0</v>
      </c>
      <c r="I52" s="42">
        <f>+'[14]FC 40% Budget'!BH53</f>
        <v>0</v>
      </c>
      <c r="J52" s="42">
        <f>+'[14]SR - 40% Budget'!BI58</f>
        <v>0</v>
      </c>
      <c r="K52" s="40">
        <f t="shared" si="12"/>
        <v>130.93</v>
      </c>
      <c r="L52" s="18">
        <f t="shared" si="3"/>
        <v>0.09931506849315068</v>
      </c>
    </row>
    <row r="53" spans="1:12" ht="12.75">
      <c r="A53" s="10"/>
      <c r="B53" s="39"/>
      <c r="C53" s="39"/>
      <c r="D53" s="39"/>
      <c r="E53" s="40"/>
      <c r="F53" s="40"/>
      <c r="G53" s="40"/>
      <c r="H53" s="40"/>
      <c r="I53" s="40"/>
      <c r="J53" s="40"/>
      <c r="K53" s="40"/>
      <c r="L53" s="16"/>
    </row>
    <row r="54" spans="1:12" ht="12.75">
      <c r="A54" s="26" t="s">
        <v>20</v>
      </c>
      <c r="B54" s="36">
        <v>80</v>
      </c>
      <c r="C54" s="36">
        <f>+D54-B54</f>
        <v>-72.35</v>
      </c>
      <c r="D54" s="36">
        <v>7.65</v>
      </c>
      <c r="E54" s="37">
        <f>(+'[4]Summary- Strat Procurement'!$F$125)</f>
        <v>0</v>
      </c>
      <c r="F54" s="37">
        <f>(+'[4]Summary- Strat Procurement'!$F$127)</f>
        <v>10</v>
      </c>
      <c r="G54" s="37">
        <f>(+'[4]Summary- Strat Procurement'!$F$129)</f>
        <v>-81</v>
      </c>
      <c r="H54" s="37">
        <f>(+'[4]Summary- Strat Procurement'!$F$131)</f>
        <v>15</v>
      </c>
      <c r="I54" s="37">
        <f>+'[14]FC 40% Budget'!BH55</f>
        <v>0</v>
      </c>
      <c r="J54" s="37">
        <f>+'[14]SR - 40% Budget'!BI60</f>
        <v>0</v>
      </c>
      <c r="K54" s="38">
        <f t="shared" si="12"/>
        <v>-48.35</v>
      </c>
      <c r="L54" s="17">
        <f t="shared" si="3"/>
        <v>0.7</v>
      </c>
    </row>
    <row r="55" spans="1:12" ht="12.75">
      <c r="A55" s="10"/>
      <c r="B55" s="39"/>
      <c r="C55" s="39"/>
      <c r="D55" s="39"/>
      <c r="E55" s="40"/>
      <c r="F55" s="40"/>
      <c r="G55" s="40"/>
      <c r="H55" s="40"/>
      <c r="I55" s="40"/>
      <c r="J55" s="40"/>
      <c r="K55" s="40"/>
      <c r="L55" s="16"/>
    </row>
    <row r="56" spans="1:12" ht="12.75">
      <c r="A56" s="26" t="s">
        <v>22</v>
      </c>
      <c r="B56" s="36">
        <f>+SUM(B57:B63)</f>
        <v>2249</v>
      </c>
      <c r="C56" s="36">
        <f>+D56-B56</f>
        <v>-29.340000000000146</v>
      </c>
      <c r="D56" s="36">
        <f>+SUM(D57:D63)</f>
        <v>2219.66</v>
      </c>
      <c r="E56" s="38">
        <f aca="true" t="shared" si="13" ref="E56:K56">+SUM(E57:E63)</f>
        <v>16</v>
      </c>
      <c r="F56" s="38">
        <f t="shared" si="13"/>
        <v>263</v>
      </c>
      <c r="G56" s="38">
        <f t="shared" si="13"/>
        <v>-102</v>
      </c>
      <c r="H56" s="38">
        <f t="shared" si="13"/>
        <v>0</v>
      </c>
      <c r="I56" s="38">
        <f t="shared" si="13"/>
        <v>-10</v>
      </c>
      <c r="J56" s="38">
        <f t="shared" si="13"/>
        <v>0</v>
      </c>
      <c r="K56" s="38">
        <f t="shared" si="13"/>
        <v>2386.66</v>
      </c>
      <c r="L56" s="17">
        <f t="shared" si="3"/>
        <v>-0.07425522454424188</v>
      </c>
    </row>
    <row r="57" spans="1:12" ht="12.75">
      <c r="A57" s="11" t="s">
        <v>57</v>
      </c>
      <c r="B57" s="41">
        <v>132</v>
      </c>
      <c r="C57" s="39">
        <f aca="true" t="shared" si="14" ref="C57:C63">+D57-B57</f>
        <v>-0.19999999999998863</v>
      </c>
      <c r="D57" s="41">
        <v>131.8</v>
      </c>
      <c r="E57" s="42">
        <f>(+'[3]Summary- ICT Core Systems'!$F$150)</f>
        <v>16</v>
      </c>
      <c r="F57" s="42">
        <f>(+'[3]Summary- ICT Core Systems'!$F$152)</f>
        <v>203</v>
      </c>
      <c r="G57" s="42">
        <f>(+'[3]Summary- ICT Core Systems'!$F$154)</f>
        <v>-31</v>
      </c>
      <c r="H57" s="42">
        <f>(+'[3]Summary- ICT Core Systems'!$F$156)</f>
        <v>0</v>
      </c>
      <c r="I57" s="42">
        <f>+'[14]FC 40% Budget'!BH58</f>
        <v>0</v>
      </c>
      <c r="J57" s="42">
        <f>+'[14]SR - 40% Budget'!BI63</f>
        <v>0</v>
      </c>
      <c r="K57" s="40">
        <f aca="true" t="shared" si="15" ref="K57:K63">+SUM(D57:J57)</f>
        <v>319.8</v>
      </c>
      <c r="L57" s="18">
        <f t="shared" si="3"/>
        <v>-1.4242424242424243</v>
      </c>
    </row>
    <row r="58" spans="1:12" ht="12.75">
      <c r="A58" s="11" t="s">
        <v>58</v>
      </c>
      <c r="B58" s="41">
        <v>1080</v>
      </c>
      <c r="C58" s="39">
        <f t="shared" si="14"/>
        <v>-0.4600000000000364</v>
      </c>
      <c r="D58" s="41">
        <v>1079.54</v>
      </c>
      <c r="E58" s="42">
        <f>(+'[3]Summary- ICT Dept Costs'!$F$149)</f>
        <v>0</v>
      </c>
      <c r="F58" s="42">
        <f>(+'[3]Summary- ICT Dept Costs'!$F$151)</f>
        <v>0</v>
      </c>
      <c r="G58" s="42">
        <f>(+'[3]Summary- ICT Dept Costs'!$F$153)</f>
        <v>-60</v>
      </c>
      <c r="H58" s="42">
        <f>(+'[3]Summary- ICT Dept Costs'!$F$155)</f>
        <v>0</v>
      </c>
      <c r="I58" s="42">
        <f>+'[14]FC 40% Budget'!BH59</f>
        <v>0</v>
      </c>
      <c r="J58" s="42">
        <f>+'[14]SR - 40% Budget'!BI64</f>
        <v>0</v>
      </c>
      <c r="K58" s="40">
        <f t="shared" si="15"/>
        <v>1019.54</v>
      </c>
      <c r="L58" s="18">
        <f t="shared" si="3"/>
        <v>0.05555555555555555</v>
      </c>
    </row>
    <row r="59" spans="1:12" ht="12.75" hidden="1">
      <c r="A59" s="11" t="s">
        <v>59</v>
      </c>
      <c r="B59" s="41">
        <v>0</v>
      </c>
      <c r="C59" s="39">
        <f t="shared" si="14"/>
        <v>0</v>
      </c>
      <c r="D59" s="41">
        <v>0</v>
      </c>
      <c r="E59" s="42">
        <f>(+'[3]Summary-ICT Sers&amp;Nets'!$F$150)</f>
        <v>0</v>
      </c>
      <c r="F59" s="42">
        <f>(+'[3]Summary-ICT Sers&amp;Nets'!$F$152)</f>
        <v>0</v>
      </c>
      <c r="G59" s="42">
        <f>(+'[3]Summary-ICT Sers&amp;Nets'!$F$154)</f>
        <v>0</v>
      </c>
      <c r="H59" s="42">
        <f>(+'[3]Summary-ICT Sers&amp;Nets'!$F$156)</f>
        <v>0</v>
      </c>
      <c r="I59" s="42">
        <f>+'[14]FC 40% Budget'!BH60</f>
        <v>0</v>
      </c>
      <c r="J59" s="42">
        <f>+'[14]SR - 40% Budget'!BI65</f>
        <v>0</v>
      </c>
      <c r="K59" s="40">
        <f t="shared" si="15"/>
        <v>0</v>
      </c>
      <c r="L59" s="18" t="e">
        <f t="shared" si="3"/>
        <v>#DIV/0!</v>
      </c>
    </row>
    <row r="60" spans="1:12" ht="12.75">
      <c r="A60" s="11" t="s">
        <v>84</v>
      </c>
      <c r="B60" s="41">
        <v>123</v>
      </c>
      <c r="C60" s="39">
        <f t="shared" si="14"/>
        <v>-0.37000000000000455</v>
      </c>
      <c r="D60" s="41">
        <v>122.63</v>
      </c>
      <c r="E60" s="42">
        <f>(+'[3]Summary- ICT Telephony'!$F$150)</f>
        <v>0</v>
      </c>
      <c r="F60" s="42">
        <f>(+'[3]Summary- ICT Telephony'!$F$152)</f>
        <v>0</v>
      </c>
      <c r="G60" s="42">
        <f>(+'[3]Summary- ICT Telephony'!$F$154)</f>
        <v>-11</v>
      </c>
      <c r="H60" s="42">
        <f>(+'[3]Summary- ICT Telephony'!$F$156)</f>
        <v>0</v>
      </c>
      <c r="I60" s="42">
        <f>+'[14]FC 40% Budget'!BH61</f>
        <v>0</v>
      </c>
      <c r="J60" s="42">
        <f>+'[14]SR - 40% Budget'!BI66</f>
        <v>0</v>
      </c>
      <c r="K60" s="40">
        <f t="shared" si="15"/>
        <v>111.63</v>
      </c>
      <c r="L60" s="18">
        <f t="shared" si="3"/>
        <v>0.08943089430894309</v>
      </c>
    </row>
    <row r="61" spans="1:12" ht="12.75">
      <c r="A61" s="10" t="s">
        <v>60</v>
      </c>
      <c r="B61" s="41">
        <v>-36</v>
      </c>
      <c r="C61" s="39">
        <f t="shared" si="14"/>
        <v>4.010000000000002</v>
      </c>
      <c r="D61" s="41">
        <v>-31.99</v>
      </c>
      <c r="E61" s="42">
        <f>(+'[3]Summary- Shared Back Office'!$F$148)</f>
        <v>0</v>
      </c>
      <c r="F61" s="42">
        <f>(+'[3]Summary- Shared Back Office'!$F$150)</f>
        <v>60</v>
      </c>
      <c r="G61" s="42">
        <f>(+'[3]Summary- Shared Back Office'!$F$152)</f>
        <v>0</v>
      </c>
      <c r="H61" s="42">
        <f>(+'[3]Summary- Shared Back Office'!$F$154)</f>
        <v>0</v>
      </c>
      <c r="I61" s="42">
        <f>+'[14]FC 40% Budget'!BH62</f>
        <v>0</v>
      </c>
      <c r="J61" s="42">
        <f>+'[14]SR - 40% Budget'!BI67</f>
        <v>0</v>
      </c>
      <c r="K61" s="40">
        <f t="shared" si="15"/>
        <v>28.01</v>
      </c>
      <c r="L61" s="18">
        <f t="shared" si="3"/>
        <v>1.6666666666666667</v>
      </c>
    </row>
    <row r="62" spans="1:14" ht="12.75">
      <c r="A62" s="10" t="s">
        <v>61</v>
      </c>
      <c r="B62" s="41">
        <v>857</v>
      </c>
      <c r="C62" s="39">
        <f t="shared" si="14"/>
        <v>-32.569999999999936</v>
      </c>
      <c r="D62" s="41">
        <f>368.43+72+23+167+194</f>
        <v>824.4300000000001</v>
      </c>
      <c r="E62" s="42">
        <f>(+'[3]Summary- Tranform Projs'!$F$151)</f>
        <v>0</v>
      </c>
      <c r="F62" s="42">
        <f>(+'[3]Summary- Tranform Projs'!$F$153)</f>
        <v>0</v>
      </c>
      <c r="G62" s="42">
        <f>(+'[3]Summary- Tranform Projs'!$F$155)</f>
        <v>0</v>
      </c>
      <c r="H62" s="42">
        <f>(+'[3]Summary- Tranform Projs'!$F$157)</f>
        <v>0</v>
      </c>
      <c r="I62" s="42">
        <f>+'[14]FC 40% Budget'!BH63</f>
        <v>-10</v>
      </c>
      <c r="J62" s="42">
        <f>+'[14]SR - 40% Budget'!BI68</f>
        <v>0</v>
      </c>
      <c r="K62" s="40">
        <f t="shared" si="15"/>
        <v>814.4300000000001</v>
      </c>
      <c r="L62" s="18">
        <f t="shared" si="3"/>
        <v>0.011668611435239206</v>
      </c>
      <c r="N62" s="12" t="s">
        <v>126</v>
      </c>
    </row>
    <row r="63" spans="1:12" ht="12.75">
      <c r="A63" s="11" t="s">
        <v>107</v>
      </c>
      <c r="B63" s="39">
        <v>93</v>
      </c>
      <c r="C63" s="39">
        <f t="shared" si="14"/>
        <v>0.25</v>
      </c>
      <c r="D63" s="39">
        <v>93.25</v>
      </c>
      <c r="E63" s="40">
        <f>+'[3]Summary-Performance'!$F$149</f>
        <v>0</v>
      </c>
      <c r="F63" s="40">
        <f>+'[3]Summary-Performance'!$F$151</f>
        <v>0</v>
      </c>
      <c r="G63" s="40">
        <f>+'[3]Summary-Performance'!$F$153</f>
        <v>0</v>
      </c>
      <c r="H63" s="40">
        <f>+'[3]Summary-Performance'!$F$155</f>
        <v>0</v>
      </c>
      <c r="I63" s="42">
        <f>+'[14]FC 40% Budget'!BH64</f>
        <v>0</v>
      </c>
      <c r="J63" s="42">
        <f>+'[14]SR - 40% Budget'!BI69</f>
        <v>0</v>
      </c>
      <c r="K63" s="40">
        <f t="shared" si="15"/>
        <v>93.25</v>
      </c>
      <c r="L63" s="18">
        <f t="shared" si="3"/>
        <v>0</v>
      </c>
    </row>
    <row r="64" spans="1:12" ht="12.75">
      <c r="A64" s="10"/>
      <c r="B64" s="39"/>
      <c r="C64" s="39"/>
      <c r="D64" s="39"/>
      <c r="E64" s="40"/>
      <c r="F64" s="40"/>
      <c r="G64" s="40"/>
      <c r="H64" s="40"/>
      <c r="I64" s="40"/>
      <c r="J64" s="40"/>
      <c r="K64" s="40"/>
      <c r="L64" s="16"/>
    </row>
    <row r="65" spans="1:12" ht="12.75">
      <c r="A65" s="31" t="s">
        <v>29</v>
      </c>
      <c r="B65" s="36">
        <f>+B67+B74+B85+B92</f>
        <v>9032</v>
      </c>
      <c r="C65" s="36">
        <f aca="true" t="shared" si="16" ref="C65:K65">+C67+C74+C85+C92</f>
        <v>512.7099999999996</v>
      </c>
      <c r="D65" s="36">
        <f t="shared" si="16"/>
        <v>9544.71</v>
      </c>
      <c r="E65" s="37">
        <f t="shared" si="16"/>
        <v>-1</v>
      </c>
      <c r="F65" s="37">
        <f t="shared" si="16"/>
        <v>516.5</v>
      </c>
      <c r="G65" s="37">
        <f t="shared" si="16"/>
        <v>-1542.2941500000002</v>
      </c>
      <c r="H65" s="37">
        <f t="shared" si="16"/>
        <v>216</v>
      </c>
      <c r="I65" s="37">
        <f t="shared" si="16"/>
        <v>-441</v>
      </c>
      <c r="J65" s="37">
        <f t="shared" si="16"/>
        <v>-122.1</v>
      </c>
      <c r="K65" s="37">
        <f t="shared" si="16"/>
        <v>8170.815850000001</v>
      </c>
      <c r="L65" s="17">
        <f t="shared" si="3"/>
        <v>0.15211405558015925</v>
      </c>
    </row>
    <row r="66" spans="1:12" ht="12.75">
      <c r="A66" s="27"/>
      <c r="B66" s="47"/>
      <c r="C66" s="47"/>
      <c r="D66" s="47"/>
      <c r="E66" s="48"/>
      <c r="F66" s="48"/>
      <c r="G66" s="48"/>
      <c r="H66" s="48"/>
      <c r="I66" s="48"/>
      <c r="J66" s="48"/>
      <c r="K66" s="48"/>
      <c r="L66" s="16"/>
    </row>
    <row r="67" spans="1:12" ht="12.75">
      <c r="A67" s="26" t="s">
        <v>30</v>
      </c>
      <c r="B67" s="36">
        <f>+SUM(B68:B72)</f>
        <v>1901</v>
      </c>
      <c r="C67" s="36">
        <f aca="true" t="shared" si="17" ref="C67:C72">+D67-B67</f>
        <v>-115.31000000000017</v>
      </c>
      <c r="D67" s="36">
        <f aca="true" t="shared" si="18" ref="D67:K67">+SUM(D68:D72)</f>
        <v>1785.6899999999998</v>
      </c>
      <c r="E67" s="38">
        <f t="shared" si="18"/>
        <v>0</v>
      </c>
      <c r="F67" s="38">
        <f t="shared" si="18"/>
        <v>0</v>
      </c>
      <c r="G67" s="38">
        <f t="shared" si="18"/>
        <v>-109.7</v>
      </c>
      <c r="H67" s="38">
        <f t="shared" si="18"/>
        <v>180</v>
      </c>
      <c r="I67" s="38">
        <f t="shared" si="18"/>
        <v>-77</v>
      </c>
      <c r="J67" s="38">
        <f t="shared" si="18"/>
        <v>-110.3</v>
      </c>
      <c r="K67" s="38">
        <f t="shared" si="18"/>
        <v>1668.69</v>
      </c>
      <c r="L67" s="17">
        <f t="shared" si="3"/>
        <v>0.061546554445028816</v>
      </c>
    </row>
    <row r="68" spans="1:12" ht="12.75">
      <c r="A68" s="10" t="s">
        <v>31</v>
      </c>
      <c r="B68" s="41">
        <v>695</v>
      </c>
      <c r="C68" s="39">
        <f t="shared" si="17"/>
        <v>-26.399999999999977</v>
      </c>
      <c r="D68" s="41">
        <v>668.6</v>
      </c>
      <c r="E68" s="42">
        <f>(+'[10]Summary- Env Control'!$F$150)</f>
        <v>0</v>
      </c>
      <c r="F68" s="42">
        <f>(+'[10]Summary- Env Control'!$F$152)</f>
        <v>0</v>
      </c>
      <c r="G68" s="42">
        <f>(+'[10]Summary- Env Control'!$F$154)</f>
        <v>-9.3</v>
      </c>
      <c r="H68" s="42">
        <f>(+'[10]Summary- Env Control'!$F$156)</f>
        <v>0</v>
      </c>
      <c r="I68" s="42">
        <f>+'[14]FC 40% Budget'!BH69</f>
        <v>-28</v>
      </c>
      <c r="J68" s="42">
        <f>+'[14]SR - 40% Budget'!BI75</f>
        <v>-26.3</v>
      </c>
      <c r="K68" s="40">
        <f>+SUM(D68:J68)</f>
        <v>605.0000000000001</v>
      </c>
      <c r="L68" s="18">
        <f t="shared" si="3"/>
        <v>0.09151079136690635</v>
      </c>
    </row>
    <row r="69" spans="1:12" ht="12.75">
      <c r="A69" s="10" t="s">
        <v>32</v>
      </c>
      <c r="B69" s="41">
        <v>570</v>
      </c>
      <c r="C69" s="39">
        <f t="shared" si="17"/>
        <v>-32.940000000000055</v>
      </c>
      <c r="D69" s="41">
        <v>537.06</v>
      </c>
      <c r="E69" s="42">
        <f>(+'[10]Summary- Env Sustain'!$F$150)</f>
        <v>0</v>
      </c>
      <c r="F69" s="42">
        <f>(+'[10]Summary- Env Sustain'!$F$152)</f>
        <v>0</v>
      </c>
      <c r="G69" s="42">
        <f>(+'[10]Summary- Env Sustain'!$F$154)</f>
        <v>-37.4</v>
      </c>
      <c r="H69" s="42">
        <f>(+'[10]Summary- Env Sustain'!$F$156)</f>
        <v>0</v>
      </c>
      <c r="I69" s="42">
        <f>+'[14]FC 40% Budget'!BH70</f>
        <v>0</v>
      </c>
      <c r="J69" s="42">
        <f>+'[14]SR - 40% Budget'!BI76</f>
        <v>-84</v>
      </c>
      <c r="K69" s="40">
        <f>+SUM(D69:J69)</f>
        <v>415.65999999999997</v>
      </c>
      <c r="L69" s="18">
        <f t="shared" si="3"/>
        <v>0.21298245614035083</v>
      </c>
    </row>
    <row r="70" spans="1:12" ht="12.75">
      <c r="A70" s="10" t="s">
        <v>33</v>
      </c>
      <c r="B70" s="41">
        <v>691</v>
      </c>
      <c r="C70" s="39">
        <f t="shared" si="17"/>
        <v>-58.33000000000004</v>
      </c>
      <c r="D70" s="41">
        <v>632.67</v>
      </c>
      <c r="E70" s="42">
        <f>(+'[10]Summary- Health Dev'!$F$150)</f>
        <v>0</v>
      </c>
      <c r="F70" s="42">
        <f>(+'[10]Summary- Health Dev'!$F$152)</f>
        <v>0</v>
      </c>
      <c r="G70" s="42">
        <f>(+'[10]Summary- Health Dev'!$F$154)</f>
        <v>-63</v>
      </c>
      <c r="H70" s="42">
        <f>(+'[10]Summary- Health Dev'!$F$156)</f>
        <v>0</v>
      </c>
      <c r="I70" s="42">
        <f>+'[14]FC 40% Budget'!BH71</f>
        <v>-49</v>
      </c>
      <c r="J70" s="42">
        <f>+'[14]SR - 40% Budget'!BI77</f>
        <v>0</v>
      </c>
      <c r="K70" s="40">
        <f>+SUM(D70:J70)</f>
        <v>520.67</v>
      </c>
      <c r="L70" s="18">
        <f>+(D70-K70)/B70</f>
        <v>0.16208393632416787</v>
      </c>
    </row>
    <row r="71" spans="1:14" ht="12.75">
      <c r="A71" s="10" t="s">
        <v>34</v>
      </c>
      <c r="B71" s="41">
        <v>151</v>
      </c>
      <c r="C71" s="39">
        <f t="shared" si="17"/>
        <v>4.340000000000003</v>
      </c>
      <c r="D71" s="41">
        <v>155.34</v>
      </c>
      <c r="E71" s="42">
        <f>(+'[10]Summary- S12 Gen Man'!$F$150)</f>
        <v>0</v>
      </c>
      <c r="F71" s="42">
        <f>(+'[10]Summary- S12 Gen Man'!$F$152)</f>
        <v>0</v>
      </c>
      <c r="G71" s="42">
        <f>(+'[10]Summary- S12 Gen Man'!$F$154)</f>
        <v>0</v>
      </c>
      <c r="H71" s="42">
        <f>(+'[10]Summary- S12 Gen Man'!$F$156)</f>
        <v>180</v>
      </c>
      <c r="I71" s="42">
        <f>+'[14]FC 40% Budget'!BH72</f>
        <v>0</v>
      </c>
      <c r="J71" s="42">
        <f>+'[14]SR - 40% Budget'!BI78</f>
        <v>0</v>
      </c>
      <c r="K71" s="40">
        <f>+SUM(D71:J71)</f>
        <v>335.34000000000003</v>
      </c>
      <c r="L71" s="18">
        <f>+(D71-K71)/B71</f>
        <v>-1.1920529801324504</v>
      </c>
      <c r="N71" s="12" t="s">
        <v>133</v>
      </c>
    </row>
    <row r="72" spans="1:12" ht="12.75">
      <c r="A72" s="27" t="s">
        <v>127</v>
      </c>
      <c r="B72" s="41">
        <v>-206</v>
      </c>
      <c r="C72" s="39">
        <f t="shared" si="17"/>
        <v>-1.9799999999999898</v>
      </c>
      <c r="D72" s="41">
        <v>-207.98</v>
      </c>
      <c r="E72" s="48">
        <v>0</v>
      </c>
      <c r="F72" s="48">
        <v>0</v>
      </c>
      <c r="G72" s="48">
        <v>0</v>
      </c>
      <c r="H72" s="48">
        <v>0</v>
      </c>
      <c r="I72" s="42">
        <f>+'[14]FC 40% Budget'!BH73</f>
        <v>0</v>
      </c>
      <c r="J72" s="42">
        <f>+'[14]SR - 40% Budget'!BI79</f>
        <v>0</v>
      </c>
      <c r="K72" s="40">
        <f>+SUM(D72:J72)</f>
        <v>-207.98</v>
      </c>
      <c r="L72" s="18">
        <f>+(D72-K72)/B72</f>
        <v>0</v>
      </c>
    </row>
    <row r="73" spans="1:12" ht="12.75">
      <c r="A73" s="27"/>
      <c r="B73" s="47"/>
      <c r="C73" s="47"/>
      <c r="D73" s="47"/>
      <c r="E73" s="48"/>
      <c r="F73" s="48"/>
      <c r="G73" s="48"/>
      <c r="H73" s="48"/>
      <c r="I73" s="48"/>
      <c r="J73" s="48"/>
      <c r="K73" s="48"/>
      <c r="L73" s="16"/>
    </row>
    <row r="74" spans="1:12" ht="12.75">
      <c r="A74" s="26" t="s">
        <v>37</v>
      </c>
      <c r="B74" s="36">
        <f>+SUM(B75:B83)</f>
        <v>264</v>
      </c>
      <c r="C74" s="36">
        <f aca="true" t="shared" si="19" ref="C74:K74">+SUM(C75:C83)</f>
        <v>659.03</v>
      </c>
      <c r="D74" s="36">
        <f t="shared" si="19"/>
        <v>923.0300000000002</v>
      </c>
      <c r="E74" s="38">
        <f t="shared" si="19"/>
        <v>0</v>
      </c>
      <c r="F74" s="38">
        <f t="shared" si="19"/>
        <v>350</v>
      </c>
      <c r="G74" s="38">
        <f t="shared" si="19"/>
        <v>-680</v>
      </c>
      <c r="H74" s="38">
        <f t="shared" si="19"/>
        <v>0</v>
      </c>
      <c r="I74" s="38">
        <f t="shared" si="19"/>
        <v>-363</v>
      </c>
      <c r="J74" s="38">
        <f t="shared" si="19"/>
        <v>0</v>
      </c>
      <c r="K74" s="38">
        <f t="shared" si="19"/>
        <v>230.0300000000002</v>
      </c>
      <c r="L74" s="17">
        <f aca="true" t="shared" si="20" ref="L74:L99">+(D74-K74)/B74</f>
        <v>2.625</v>
      </c>
    </row>
    <row r="75" spans="1:12" ht="12.75">
      <c r="A75" s="10" t="s">
        <v>90</v>
      </c>
      <c r="B75" s="41">
        <v>2085</v>
      </c>
      <c r="C75" s="39">
        <f aca="true" t="shared" si="21" ref="C75:C80">+D75-B75</f>
        <v>-13.460000000000036</v>
      </c>
      <c r="D75" s="41">
        <v>2071.54</v>
      </c>
      <c r="E75" s="42">
        <f>+'[2]Summary- W&amp;R'!$F$151</f>
        <v>0</v>
      </c>
      <c r="F75" s="42">
        <f>+'[2]Summary- W&amp;R'!$F$153</f>
        <v>130</v>
      </c>
      <c r="G75" s="42">
        <f>+'[2]Summary- W&amp;R'!$F$155</f>
        <v>-595</v>
      </c>
      <c r="H75" s="42">
        <f>+'[2]Summary- W&amp;R'!$F$157</f>
        <v>0</v>
      </c>
      <c r="I75" s="42">
        <f>+'[14]FC 40% Budget'!BH76</f>
        <v>-149</v>
      </c>
      <c r="J75" s="42">
        <f>+'[14]SR - 40% Budget'!BI85</f>
        <v>0</v>
      </c>
      <c r="K75" s="40">
        <f aca="true" t="shared" si="22" ref="K75:K80">+SUM(D75:J75)</f>
        <v>1457.54</v>
      </c>
      <c r="L75" s="18">
        <f t="shared" si="20"/>
        <v>0.294484412470024</v>
      </c>
    </row>
    <row r="76" spans="1:12" ht="12.75">
      <c r="A76" s="10" t="s">
        <v>91</v>
      </c>
      <c r="B76" s="41">
        <v>82</v>
      </c>
      <c r="C76" s="39">
        <f t="shared" si="21"/>
        <v>-0.8299999999999983</v>
      </c>
      <c r="D76" s="41">
        <v>81.17</v>
      </c>
      <c r="E76" s="42">
        <f>+'[2]Summary- Streets'!$F$150</f>
        <v>0</v>
      </c>
      <c r="F76" s="42">
        <f>+'[2]Summary- Streets'!$F$152</f>
        <v>0</v>
      </c>
      <c r="G76" s="42">
        <f>+'[2]Summary- Streets'!$F$154</f>
        <v>0</v>
      </c>
      <c r="H76" s="42">
        <f>+'[2]Summary- Streets'!$F$156</f>
        <v>0</v>
      </c>
      <c r="I76" s="42">
        <f>+'[14]FC 40% Budget'!BH77</f>
        <v>0</v>
      </c>
      <c r="J76" s="42">
        <f>+'[14]SR - 40% Budget'!BI86</f>
        <v>0</v>
      </c>
      <c r="K76" s="40">
        <f t="shared" si="22"/>
        <v>81.17</v>
      </c>
      <c r="L76" s="18">
        <f t="shared" si="20"/>
        <v>0</v>
      </c>
    </row>
    <row r="77" spans="1:12" ht="12.75" hidden="1">
      <c r="A77" s="10" t="s">
        <v>92</v>
      </c>
      <c r="B77" s="41">
        <v>0</v>
      </c>
      <c r="C77" s="39">
        <f t="shared" si="21"/>
        <v>0</v>
      </c>
      <c r="D77" s="41">
        <v>0</v>
      </c>
      <c r="E77" s="42">
        <f>+'[2]Summary- Markets'!$F$151</f>
        <v>0</v>
      </c>
      <c r="F77" s="42">
        <f>+'[2]Summary- Markets'!$F$153</f>
        <v>0</v>
      </c>
      <c r="G77" s="42">
        <f>+'[2]Summary- Markets'!$F$155</f>
        <v>0</v>
      </c>
      <c r="H77" s="42">
        <f>+'[2]Summary- Markets'!$F$157</f>
        <v>0</v>
      </c>
      <c r="I77" s="42">
        <f>+'[14]FC 40% Budget'!BH78</f>
        <v>0</v>
      </c>
      <c r="J77" s="42">
        <f>+'[14]SR - 40% Budget'!BI87</f>
        <v>0</v>
      </c>
      <c r="K77" s="40">
        <f t="shared" si="22"/>
        <v>0</v>
      </c>
      <c r="L77" s="18" t="e">
        <f t="shared" si="20"/>
        <v>#DIV/0!</v>
      </c>
    </row>
    <row r="78" spans="1:12" ht="12.75" hidden="1">
      <c r="A78" s="10" t="s">
        <v>93</v>
      </c>
      <c r="B78" s="41">
        <v>0</v>
      </c>
      <c r="C78" s="39">
        <f t="shared" si="21"/>
        <v>0</v>
      </c>
      <c r="D78" s="41">
        <v>0</v>
      </c>
      <c r="E78" s="42">
        <f>+'[2]Summary- Pub Convs'!$F$150</f>
        <v>0</v>
      </c>
      <c r="F78" s="42">
        <f>+'[2]Summary- Pub Convs'!$F$152</f>
        <v>0</v>
      </c>
      <c r="G78" s="42">
        <f>+'[2]Summary- Pub Convs'!$F$154</f>
        <v>0</v>
      </c>
      <c r="H78" s="42">
        <f>+'[2]Summary- Pub Convs'!$F$156</f>
        <v>0</v>
      </c>
      <c r="I78" s="42">
        <f>+'[14]FC 40% Budget'!BH79</f>
        <v>0</v>
      </c>
      <c r="J78" s="42">
        <f>+'[14]SR - 40% Budget'!BI88</f>
        <v>0</v>
      </c>
      <c r="K78" s="40">
        <f t="shared" si="22"/>
        <v>0</v>
      </c>
      <c r="L78" s="18" t="e">
        <f t="shared" si="20"/>
        <v>#DIV/0!</v>
      </c>
    </row>
    <row r="79" spans="1:12" ht="12.75">
      <c r="A79" s="10" t="s">
        <v>95</v>
      </c>
      <c r="B79" s="41">
        <v>1352</v>
      </c>
      <c r="C79" s="39">
        <f t="shared" si="21"/>
        <v>-4.9500000000000455</v>
      </c>
      <c r="D79" s="41">
        <v>1347.05</v>
      </c>
      <c r="E79" s="42">
        <f>+'[2]Summary- M&amp;A'!$F$151</f>
        <v>0</v>
      </c>
      <c r="F79" s="42">
        <f>+'[2]Summary- M&amp;A'!$F$153</f>
        <v>0</v>
      </c>
      <c r="G79" s="42">
        <f>+'[2]Summary- M&amp;A'!$F$155</f>
        <v>0</v>
      </c>
      <c r="H79" s="42">
        <f>+'[2]Summary- M&amp;A'!$F$159</f>
        <v>0</v>
      </c>
      <c r="I79" s="42">
        <f>+'[14]FC 40% Budget'!BH80</f>
        <v>0</v>
      </c>
      <c r="J79" s="42">
        <f>+'[14]SR - 40% Budget'!BI89</f>
        <v>0</v>
      </c>
      <c r="K79" s="40">
        <f t="shared" si="22"/>
        <v>1347.05</v>
      </c>
      <c r="L79" s="18">
        <f t="shared" si="20"/>
        <v>0</v>
      </c>
    </row>
    <row r="80" spans="1:12" ht="12.75">
      <c r="A80" s="10" t="s">
        <v>106</v>
      </c>
      <c r="B80" s="41">
        <v>3888</v>
      </c>
      <c r="C80" s="39">
        <f t="shared" si="21"/>
        <v>-113.80000000000018</v>
      </c>
      <c r="D80" s="41">
        <f>1800.36+1973.84</f>
        <v>3774.2</v>
      </c>
      <c r="E80" s="42">
        <f>+'[2]Summary- Street Scene OCH'!$F$154</f>
        <v>0</v>
      </c>
      <c r="F80" s="42">
        <f>+'[2]Summary- Street Scene OCH'!$F$156</f>
        <v>0</v>
      </c>
      <c r="G80" s="42">
        <f>+'[2]Summary- Street Scene OCH'!$F$158</f>
        <v>-50</v>
      </c>
      <c r="H80" s="42">
        <f>+'[2]Summary- Street Scene OCH'!$F$160</f>
        <v>0</v>
      </c>
      <c r="I80" s="42">
        <f>+'[14]FC 40% Budget'!BH81</f>
        <v>0</v>
      </c>
      <c r="J80" s="42">
        <f>+'[14]SR - 40% Budget'!BI90</f>
        <v>0</v>
      </c>
      <c r="K80" s="40">
        <f t="shared" si="22"/>
        <v>3724.2</v>
      </c>
      <c r="L80" s="18">
        <f t="shared" si="20"/>
        <v>0.01286008230452675</v>
      </c>
    </row>
    <row r="81" spans="1:14" ht="12.75">
      <c r="A81" s="11" t="s">
        <v>89</v>
      </c>
      <c r="B81" s="41">
        <v>-4714</v>
      </c>
      <c r="C81" s="39">
        <f aca="true" t="shared" si="23" ref="C81:C90">+D81-B81</f>
        <v>697.5100000000002</v>
      </c>
      <c r="D81" s="41">
        <f>700+-4716.49</f>
        <v>-4016.49</v>
      </c>
      <c r="E81" s="42">
        <f>+'[2]Summary- Car Parks'!$F$150</f>
        <v>0</v>
      </c>
      <c r="F81" s="42">
        <f>+'[2]Summary- Car Parks'!$F$152</f>
        <v>220</v>
      </c>
      <c r="G81" s="42">
        <f>+'[2]Summary- Car Parks'!$F$154</f>
        <v>-35</v>
      </c>
      <c r="H81" s="42">
        <f>+'[2]Summary- Car Parks'!$F$156</f>
        <v>0</v>
      </c>
      <c r="I81" s="42">
        <f>+'[14]FC 40% Budget'!BH82</f>
        <v>-214</v>
      </c>
      <c r="J81" s="42">
        <f>+'[14]SR - 40% Budget'!BI91</f>
        <v>0</v>
      </c>
      <c r="K81" s="40">
        <f>+SUM(D81:J81)</f>
        <v>-4045.49</v>
      </c>
      <c r="L81" s="18">
        <f t="shared" si="20"/>
        <v>-0.00615188799321171</v>
      </c>
      <c r="N81" s="12" t="s">
        <v>129</v>
      </c>
    </row>
    <row r="82" spans="1:12" ht="12.75">
      <c r="A82" s="11" t="s">
        <v>96</v>
      </c>
      <c r="B82" s="41">
        <v>-94</v>
      </c>
      <c r="C82" s="39">
        <f t="shared" si="23"/>
        <v>94</v>
      </c>
      <c r="D82" s="41">
        <v>0</v>
      </c>
      <c r="E82" s="42">
        <f>+'[2]Summary-Engineering'!$F$158</f>
        <v>0</v>
      </c>
      <c r="F82" s="42">
        <f>+'[2]Summary-Engineering'!$F$160</f>
        <v>0</v>
      </c>
      <c r="G82" s="42">
        <f>+'[2]Summary-Engineering'!$F$162</f>
        <v>0</v>
      </c>
      <c r="H82" s="42">
        <f>+'[2]Summary-Engineering'!$F$164</f>
        <v>0</v>
      </c>
      <c r="I82" s="42">
        <v>0</v>
      </c>
      <c r="J82" s="42">
        <v>0</v>
      </c>
      <c r="K82" s="40">
        <f>+SUM(D82:J82)</f>
        <v>0</v>
      </c>
      <c r="L82" s="18">
        <f t="shared" si="20"/>
        <v>0</v>
      </c>
    </row>
    <row r="83" spans="1:12" ht="12.75" customHeight="1">
      <c r="A83" s="11" t="s">
        <v>94</v>
      </c>
      <c r="B83" s="41">
        <v>-2335</v>
      </c>
      <c r="C83" s="39">
        <f t="shared" si="23"/>
        <v>0.5599999999999454</v>
      </c>
      <c r="D83" s="41">
        <f>-2338.27+3.83</f>
        <v>-2334.44</v>
      </c>
      <c r="E83" s="42">
        <f>+'[2]Summary- MT'!$F$150</f>
        <v>0</v>
      </c>
      <c r="F83" s="42">
        <f>+'[2]Summary- MT'!$F$152</f>
        <v>0</v>
      </c>
      <c r="G83" s="42">
        <f>+'[2]Summary- MT'!$F$154</f>
        <v>0</v>
      </c>
      <c r="H83" s="42">
        <f>+'[2]Summary- MT'!$F$156</f>
        <v>0</v>
      </c>
      <c r="I83" s="42">
        <f>+'[2]Summary- MT'!$F$158</f>
        <v>0</v>
      </c>
      <c r="J83" s="42">
        <f>+'[2]Summary- MT'!$F$160</f>
        <v>0</v>
      </c>
      <c r="K83" s="40">
        <f>+SUM(D83:J83)</f>
        <v>-2334.44</v>
      </c>
      <c r="L83" s="18">
        <f t="shared" si="20"/>
        <v>0</v>
      </c>
    </row>
    <row r="84" spans="1:12" ht="12.75">
      <c r="A84" s="27"/>
      <c r="B84" s="41"/>
      <c r="C84" s="39"/>
      <c r="D84" s="41"/>
      <c r="E84" s="42"/>
      <c r="F84" s="42"/>
      <c r="G84" s="42"/>
      <c r="H84" s="42"/>
      <c r="I84" s="42"/>
      <c r="J84" s="42"/>
      <c r="K84" s="42"/>
      <c r="L84" s="18"/>
    </row>
    <row r="85" spans="1:12" ht="12.75">
      <c r="A85" s="26" t="s">
        <v>21</v>
      </c>
      <c r="B85" s="36">
        <f>+SUM(B86:B90)</f>
        <v>2231</v>
      </c>
      <c r="C85" s="36">
        <f>+D85-B85</f>
        <v>163</v>
      </c>
      <c r="D85" s="36">
        <f>+SUM(D86:D90)</f>
        <v>2394</v>
      </c>
      <c r="E85" s="38">
        <f aca="true" t="shared" si="24" ref="E85:K85">+SUM(E86:E90)</f>
        <v>0</v>
      </c>
      <c r="F85" s="38">
        <f t="shared" si="24"/>
        <v>146.5</v>
      </c>
      <c r="G85" s="38">
        <f t="shared" si="24"/>
        <v>-241.385</v>
      </c>
      <c r="H85" s="38">
        <f t="shared" si="24"/>
        <v>0</v>
      </c>
      <c r="I85" s="38">
        <f t="shared" si="24"/>
        <v>0</v>
      </c>
      <c r="J85" s="38">
        <f t="shared" si="24"/>
        <v>0</v>
      </c>
      <c r="K85" s="38">
        <f t="shared" si="24"/>
        <v>2299.115</v>
      </c>
      <c r="L85" s="17">
        <f t="shared" si="20"/>
        <v>0.042530255490811394</v>
      </c>
    </row>
    <row r="86" spans="1:14" ht="12.75">
      <c r="A86" s="10" t="s">
        <v>21</v>
      </c>
      <c r="B86" s="41">
        <v>989</v>
      </c>
      <c r="C86" s="39">
        <f t="shared" si="23"/>
        <v>84</v>
      </c>
      <c r="D86" s="41">
        <f>983+90</f>
        <v>1073</v>
      </c>
      <c r="E86" s="42">
        <f>(+'[5]Summary- Cust Services'!$F$150)</f>
        <v>0</v>
      </c>
      <c r="F86" s="42">
        <f>(+'[5]Summary- Cust Services'!$F$152)</f>
        <v>85</v>
      </c>
      <c r="G86" s="42">
        <f>(+'[5]Summary- Cust Services'!$F$154)</f>
        <v>-49.013999999999996</v>
      </c>
      <c r="H86" s="42">
        <f>(+'[5]Summary- Cust Services'!$F$156)</f>
        <v>0</v>
      </c>
      <c r="I86" s="42">
        <f>+'[14]FC 40% Budget'!BH85</f>
        <v>0</v>
      </c>
      <c r="J86" s="42">
        <f>+'[14]SR - 40% Budget'!BI94</f>
        <v>0</v>
      </c>
      <c r="K86" s="40">
        <f>+SUM(D86:J86)</f>
        <v>1108.986</v>
      </c>
      <c r="L86" s="18">
        <f t="shared" si="20"/>
        <v>-0.03638624873609717</v>
      </c>
      <c r="N86" s="12" t="s">
        <v>124</v>
      </c>
    </row>
    <row r="87" spans="1:14" ht="12.75">
      <c r="A87" s="10" t="s">
        <v>69</v>
      </c>
      <c r="B87" s="41">
        <v>248</v>
      </c>
      <c r="C87" s="39">
        <f t="shared" si="23"/>
        <v>89</v>
      </c>
      <c r="D87" s="41">
        <f>247+90</f>
        <v>337</v>
      </c>
      <c r="E87" s="42">
        <f>(+'[5]Summary- Council Tax'!$F$150)</f>
        <v>0</v>
      </c>
      <c r="F87" s="42">
        <f>(+'[5]Summary- Council Tax'!$F$152)</f>
        <v>0</v>
      </c>
      <c r="G87" s="42">
        <f>(+'[5]Summary- Council Tax'!$F$154)</f>
        <v>-12.5</v>
      </c>
      <c r="H87" s="42">
        <f>(+'[5]Summary- Council Tax'!$F$156)</f>
        <v>0</v>
      </c>
      <c r="I87" s="42">
        <f>+'[14]FC 40% Budget'!BH86</f>
        <v>0</v>
      </c>
      <c r="J87" s="42">
        <f>+'[14]SR - 40% Budget'!BI95</f>
        <v>0</v>
      </c>
      <c r="K87" s="40">
        <f>+SUM(D87:J87)</f>
        <v>324.5</v>
      </c>
      <c r="L87" s="18">
        <f t="shared" si="20"/>
        <v>0.05040322580645161</v>
      </c>
      <c r="N87" s="12" t="s">
        <v>121</v>
      </c>
    </row>
    <row r="88" spans="1:12" ht="12.75">
      <c r="A88" s="10" t="s">
        <v>70</v>
      </c>
      <c r="B88" s="41">
        <v>829</v>
      </c>
      <c r="C88" s="39">
        <f t="shared" si="23"/>
        <v>-7</v>
      </c>
      <c r="D88" s="41">
        <v>822</v>
      </c>
      <c r="E88" s="42">
        <f>(+'[5]Summary- Housing Benefit'!$F$150)</f>
        <v>0</v>
      </c>
      <c r="F88" s="42">
        <f>(+'[5]Summary- Housing Benefit'!$F$152)</f>
        <v>61.5</v>
      </c>
      <c r="G88" s="42">
        <f>(+'[5]Summary- Housing Benefit'!$F$154)</f>
        <v>-127.857</v>
      </c>
      <c r="H88" s="42">
        <f>(+'[5]Summary- Housing Benefit'!$F$156)</f>
        <v>0</v>
      </c>
      <c r="I88" s="42">
        <f>+'[14]FC 40% Budget'!BH87</f>
        <v>0</v>
      </c>
      <c r="J88" s="42">
        <f>+'[14]SR - 40% Budget'!BI96</f>
        <v>0</v>
      </c>
      <c r="K88" s="40">
        <f>+SUM(D88:J88)</f>
        <v>755.643</v>
      </c>
      <c r="L88" s="18">
        <f t="shared" si="20"/>
        <v>0.0800446320868516</v>
      </c>
    </row>
    <row r="89" spans="1:12" ht="12.75">
      <c r="A89" s="10" t="s">
        <v>71</v>
      </c>
      <c r="B89" s="41">
        <v>159</v>
      </c>
      <c r="C89" s="39">
        <f t="shared" si="23"/>
        <v>-3</v>
      </c>
      <c r="D89" s="41">
        <v>156</v>
      </c>
      <c r="E89" s="42">
        <f>(+'[5]Summary- Income &amp; NNDR'!$F$151)</f>
        <v>0</v>
      </c>
      <c r="F89" s="42">
        <f>(+'[5]Summary- Income &amp; NNDR'!$F$153)</f>
        <v>0</v>
      </c>
      <c r="G89" s="42">
        <f>(+'[5]Summary- Income &amp; NNDR'!$F$155)</f>
        <v>0</v>
      </c>
      <c r="H89" s="42">
        <f>(+'[5]Summary- Income &amp; NNDR'!$F$157)</f>
        <v>0</v>
      </c>
      <c r="I89" s="42">
        <f>+'[14]FC 40% Budget'!BH88</f>
        <v>0</v>
      </c>
      <c r="J89" s="42">
        <f>+'[14]SR - 40% Budget'!BI97</f>
        <v>0</v>
      </c>
      <c r="K89" s="40">
        <f>+SUM(D89:J89)</f>
        <v>156</v>
      </c>
      <c r="L89" s="18">
        <f t="shared" si="20"/>
        <v>0</v>
      </c>
    </row>
    <row r="90" spans="1:12" ht="12.75">
      <c r="A90" s="10" t="s">
        <v>72</v>
      </c>
      <c r="B90" s="41">
        <v>6</v>
      </c>
      <c r="C90" s="39">
        <f t="shared" si="23"/>
        <v>0</v>
      </c>
      <c r="D90" s="41">
        <v>6</v>
      </c>
      <c r="E90" s="42">
        <f>(+'[5]Summary-Scanning'!$F$150)</f>
        <v>0</v>
      </c>
      <c r="F90" s="42">
        <f>(+'[5]Summary-Scanning'!$F$152)</f>
        <v>0</v>
      </c>
      <c r="G90" s="42">
        <f>(+'[5]Summary-Scanning'!$F$154)</f>
        <v>-52.014</v>
      </c>
      <c r="H90" s="42">
        <f>(+'[5]Summary-Scanning'!$F$156)</f>
        <v>0</v>
      </c>
      <c r="I90" s="42">
        <f>+'[14]FC 40% Budget'!BH89</f>
        <v>0</v>
      </c>
      <c r="J90" s="42">
        <f>+'[14]SR - 40% Budget'!BI98</f>
        <v>0</v>
      </c>
      <c r="K90" s="40">
        <f>+SUM(D90:J90)</f>
        <v>-46.014</v>
      </c>
      <c r="L90" s="18">
        <f t="shared" si="20"/>
        <v>8.669</v>
      </c>
    </row>
    <row r="91" spans="1:12" ht="12.75">
      <c r="A91" s="53"/>
      <c r="B91" s="54"/>
      <c r="C91" s="54"/>
      <c r="D91" s="54"/>
      <c r="E91" s="51"/>
      <c r="F91" s="51"/>
      <c r="G91" s="51"/>
      <c r="H91" s="51"/>
      <c r="I91" s="51"/>
      <c r="J91" s="55"/>
      <c r="K91" s="51"/>
      <c r="L91" s="20"/>
    </row>
    <row r="92" spans="1:12" ht="12.75">
      <c r="A92" s="52" t="s">
        <v>38</v>
      </c>
      <c r="B92" s="34">
        <f>+SUM(B93:B99)</f>
        <v>4636</v>
      </c>
      <c r="C92" s="34">
        <f>+D92-B92</f>
        <v>-194.01000000000022</v>
      </c>
      <c r="D92" s="34">
        <f>+SUM(D93:D99)</f>
        <v>4441.99</v>
      </c>
      <c r="E92" s="56">
        <f aca="true" t="shared" si="25" ref="E92:K92">+SUM(E93:E99)</f>
        <v>-1</v>
      </c>
      <c r="F92" s="56">
        <f t="shared" si="25"/>
        <v>20</v>
      </c>
      <c r="G92" s="56">
        <f t="shared" si="25"/>
        <v>-511.20915</v>
      </c>
      <c r="H92" s="56">
        <f t="shared" si="25"/>
        <v>36</v>
      </c>
      <c r="I92" s="56">
        <f t="shared" si="25"/>
        <v>-1</v>
      </c>
      <c r="J92" s="56">
        <f t="shared" si="25"/>
        <v>-11.799999999999997</v>
      </c>
      <c r="K92" s="56">
        <f t="shared" si="25"/>
        <v>3972.9808500000004</v>
      </c>
      <c r="L92" s="15">
        <f t="shared" si="20"/>
        <v>0.10116677092320954</v>
      </c>
    </row>
    <row r="93" spans="1:14" ht="12.75">
      <c r="A93" s="21" t="s">
        <v>74</v>
      </c>
      <c r="B93" s="41">
        <v>1713</v>
      </c>
      <c r="C93" s="39">
        <f aca="true" t="shared" si="26" ref="C93:C99">+D93-B93</f>
        <v>-0.33999999999991815</v>
      </c>
      <c r="D93" s="41">
        <v>1712.66</v>
      </c>
      <c r="E93" s="42">
        <v>-1</v>
      </c>
      <c r="F93" s="42">
        <f>(+'[6]Summary- Leisure Manage'!$F$152)</f>
        <v>20</v>
      </c>
      <c r="G93" s="42">
        <f>(+'[6]Summary- Leisure Manage'!$F$154)</f>
        <v>-192.20915</v>
      </c>
      <c r="H93" s="42">
        <f>(+'[6]Summary- Leisure Manage'!$F$156)</f>
        <v>0</v>
      </c>
      <c r="I93" s="42">
        <f>+'[14]FC 40% Budget'!BH92</f>
        <v>0</v>
      </c>
      <c r="J93" s="42">
        <f>+'[14]SR - 40% Budget'!BI108</f>
        <v>14.200000000000003</v>
      </c>
      <c r="K93" s="40">
        <f aca="true" t="shared" si="27" ref="K93:K99">+SUM(D93:J93)</f>
        <v>1553.6508500000002</v>
      </c>
      <c r="L93" s="18">
        <f t="shared" si="20"/>
        <v>0.09282495621716279</v>
      </c>
      <c r="N93" s="12" t="s">
        <v>132</v>
      </c>
    </row>
    <row r="94" spans="1:12" ht="12.75">
      <c r="A94" s="21" t="s">
        <v>75</v>
      </c>
      <c r="B94" s="41">
        <v>158</v>
      </c>
      <c r="C94" s="39">
        <f t="shared" si="26"/>
        <v>-61.00999999999999</v>
      </c>
      <c r="D94" s="41">
        <f>79.59+17.4</f>
        <v>96.99000000000001</v>
      </c>
      <c r="E94" s="42">
        <f>+'[6]Summary- Sports Dev'!$F$152</f>
        <v>0</v>
      </c>
      <c r="F94" s="42">
        <f>+'[6]Summary- Sports Dev'!$F$154</f>
        <v>0</v>
      </c>
      <c r="G94" s="42">
        <f>+'[6]Summary- Sports Dev'!$F$156</f>
        <v>-3</v>
      </c>
      <c r="H94" s="42">
        <f>+'[6]Summary- Sports Dev'!$F$158</f>
        <v>0</v>
      </c>
      <c r="I94" s="42">
        <f>+'[14]FC 40% Budget'!BH93</f>
        <v>0</v>
      </c>
      <c r="J94" s="42">
        <f>+'[14]SR - 40% Budget'!BI109</f>
        <v>-11</v>
      </c>
      <c r="K94" s="40">
        <f t="shared" si="27"/>
        <v>82.99000000000001</v>
      </c>
      <c r="L94" s="18">
        <f t="shared" si="20"/>
        <v>0.08860759493670886</v>
      </c>
    </row>
    <row r="95" spans="1:12" ht="12.75">
      <c r="A95" s="21" t="s">
        <v>76</v>
      </c>
      <c r="B95" s="41">
        <v>-11</v>
      </c>
      <c r="C95" s="39">
        <f t="shared" si="26"/>
        <v>0.15000000000000036</v>
      </c>
      <c r="D95" s="41">
        <v>-10.85</v>
      </c>
      <c r="E95" s="42">
        <f>(+'[6]Summary- Allotments'!$F$150)</f>
        <v>0</v>
      </c>
      <c r="F95" s="42">
        <f>(+'[6]Summary- Allotments'!$F$152)</f>
        <v>0</v>
      </c>
      <c r="G95" s="42">
        <f>(+'[6]Summary- Allotments'!$F$154)</f>
        <v>0</v>
      </c>
      <c r="H95" s="42">
        <f>(+'[6]Summary- Allotments'!$F$156)</f>
        <v>0</v>
      </c>
      <c r="I95" s="42">
        <f>+'[14]FC 40% Budget'!BH94</f>
        <v>0</v>
      </c>
      <c r="J95" s="42">
        <f>+'[14]SR - 40% Budget'!BI110</f>
        <v>0</v>
      </c>
      <c r="K95" s="40">
        <f t="shared" si="27"/>
        <v>-10.85</v>
      </c>
      <c r="L95" s="18">
        <f t="shared" si="20"/>
        <v>0</v>
      </c>
    </row>
    <row r="96" spans="1:12" ht="12.75">
      <c r="A96" s="21" t="s">
        <v>77</v>
      </c>
      <c r="B96" s="41">
        <v>61</v>
      </c>
      <c r="C96" s="39">
        <f t="shared" si="26"/>
        <v>-11.21</v>
      </c>
      <c r="D96" s="41">
        <v>49.79</v>
      </c>
      <c r="E96" s="42">
        <f>(+'[6]Summary- Burial Services'!$F$150)</f>
        <v>0</v>
      </c>
      <c r="F96" s="42">
        <f>(+'[6]Summary- Burial Services'!$F$152)</f>
        <v>0</v>
      </c>
      <c r="G96" s="42">
        <f>(+'[6]Summary- Burial Services'!$F$154)</f>
        <v>-15</v>
      </c>
      <c r="H96" s="42">
        <f>(+'[6]Summary- Burial Services'!$F$156)</f>
        <v>1</v>
      </c>
      <c r="I96" s="42">
        <f>+'[14]FC 40% Budget'!BH95</f>
        <v>0</v>
      </c>
      <c r="J96" s="42">
        <f>+'[14]SR - 40% Budget'!BI111</f>
        <v>-10</v>
      </c>
      <c r="K96" s="40">
        <f t="shared" si="27"/>
        <v>25.79</v>
      </c>
      <c r="L96" s="18">
        <f t="shared" si="20"/>
        <v>0.39344262295081966</v>
      </c>
    </row>
    <row r="97" spans="1:12" ht="12.75">
      <c r="A97" s="21" t="s">
        <v>78</v>
      </c>
      <c r="B97" s="41">
        <v>134</v>
      </c>
      <c r="C97" s="39">
        <f t="shared" si="26"/>
        <v>-0.9799999999999898</v>
      </c>
      <c r="D97" s="41">
        <v>133.02</v>
      </c>
      <c r="E97" s="42">
        <f>(+'[6]Summary- Countryside'!$F$150)</f>
        <v>0</v>
      </c>
      <c r="F97" s="42">
        <f>(+'[6]Summary- Countryside'!$F$152)</f>
        <v>0</v>
      </c>
      <c r="G97" s="42">
        <f>(+'[6]Summary- Countryside'!$F$154)</f>
        <v>0</v>
      </c>
      <c r="H97" s="42">
        <f>(+'[6]Summary- Countryside'!$F$156)</f>
        <v>0</v>
      </c>
      <c r="I97" s="42">
        <f>+'[14]FC 40% Budget'!BH96</f>
        <v>0</v>
      </c>
      <c r="J97" s="42">
        <f>+'[14]SR - 40% Budget'!BI112</f>
        <v>0</v>
      </c>
      <c r="K97" s="40">
        <f t="shared" si="27"/>
        <v>133.02</v>
      </c>
      <c r="L97" s="18">
        <f t="shared" si="20"/>
        <v>0</v>
      </c>
    </row>
    <row r="98" spans="1:12" ht="12.75">
      <c r="A98" s="21" t="s">
        <v>79</v>
      </c>
      <c r="B98" s="41">
        <v>2507</v>
      </c>
      <c r="C98" s="39">
        <f t="shared" si="26"/>
        <v>-43.440000000000055</v>
      </c>
      <c r="D98" s="41">
        <v>2463.56</v>
      </c>
      <c r="E98" s="42">
        <f>(+'[6]Summary- Parks'!$F$150)</f>
        <v>0</v>
      </c>
      <c r="F98" s="42">
        <f>(+'[6]Summary- Parks'!$F$152)</f>
        <v>0</v>
      </c>
      <c r="G98" s="42">
        <f>(+'[6]Summary- Parks'!$F$154)</f>
        <v>-271</v>
      </c>
      <c r="H98" s="42">
        <f>(+'[6]Summary- Parks'!$F$156)</f>
        <v>35</v>
      </c>
      <c r="I98" s="42">
        <f>+'[14]FC 40% Budget'!BH97</f>
        <v>-1</v>
      </c>
      <c r="J98" s="42">
        <f>+'[14]SR - 40% Budget'!BI113</f>
        <v>0</v>
      </c>
      <c r="K98" s="40">
        <f t="shared" si="27"/>
        <v>2226.56</v>
      </c>
      <c r="L98" s="18">
        <f t="shared" si="20"/>
        <v>0.09453530115676106</v>
      </c>
    </row>
    <row r="99" spans="1:12" ht="12.75">
      <c r="A99" s="21" t="s">
        <v>80</v>
      </c>
      <c r="B99" s="41">
        <v>74</v>
      </c>
      <c r="C99" s="39">
        <f t="shared" si="26"/>
        <v>-77.18</v>
      </c>
      <c r="D99" s="41">
        <v>-3.18</v>
      </c>
      <c r="E99" s="42">
        <f>(+'[6]Summary- Parks Manage'!$F$150)</f>
        <v>0</v>
      </c>
      <c r="F99" s="42">
        <f>(+'[6]Summary- Parks Manage'!$F$152)</f>
        <v>0</v>
      </c>
      <c r="G99" s="42">
        <f>(+'[6]Summary- Parks Manage'!$F$154)</f>
        <v>-30</v>
      </c>
      <c r="H99" s="42">
        <f>(+'[6]Summary- Parks Manage'!$F$156)</f>
        <v>0</v>
      </c>
      <c r="I99" s="42">
        <f>+'[14]FC 40% Budget'!BH98</f>
        <v>0</v>
      </c>
      <c r="J99" s="42">
        <f>+'[14]SR - 40% Budget'!BI114</f>
        <v>-5</v>
      </c>
      <c r="K99" s="40">
        <f t="shared" si="27"/>
        <v>-38.18</v>
      </c>
      <c r="L99" s="18">
        <f t="shared" si="20"/>
        <v>0.47297297297297297</v>
      </c>
    </row>
    <row r="100" spans="1:12" ht="12.75">
      <c r="A100" s="28"/>
      <c r="B100" s="47"/>
      <c r="C100" s="47"/>
      <c r="D100" s="47"/>
      <c r="E100" s="42"/>
      <c r="F100" s="42"/>
      <c r="G100" s="42"/>
      <c r="H100" s="42"/>
      <c r="I100" s="42"/>
      <c r="J100" s="42"/>
      <c r="K100" s="42"/>
      <c r="L100" s="16"/>
    </row>
    <row r="101" spans="1:12" ht="12.75">
      <c r="A101" s="27"/>
      <c r="B101" s="47"/>
      <c r="C101" s="47"/>
      <c r="D101" s="47"/>
      <c r="E101" s="48"/>
      <c r="F101" s="48"/>
      <c r="G101" s="48"/>
      <c r="H101" s="48"/>
      <c r="I101" s="48"/>
      <c r="J101" s="48"/>
      <c r="K101" s="48"/>
      <c r="L101" s="16"/>
    </row>
    <row r="102" spans="1:12" ht="12.75">
      <c r="A102" s="57" t="s">
        <v>39</v>
      </c>
      <c r="B102" s="36">
        <f aca="true" t="shared" si="28" ref="B102:K102">+B104+B112</f>
        <v>3961</v>
      </c>
      <c r="C102" s="36">
        <f>+D102-B102</f>
        <v>204.5600000000004</v>
      </c>
      <c r="D102" s="36">
        <f t="shared" si="28"/>
        <v>4165.56</v>
      </c>
      <c r="E102" s="37">
        <f t="shared" si="28"/>
        <v>0</v>
      </c>
      <c r="F102" s="37">
        <f t="shared" si="28"/>
        <v>50</v>
      </c>
      <c r="G102" s="37">
        <f t="shared" si="28"/>
        <v>-299</v>
      </c>
      <c r="H102" s="37">
        <f t="shared" si="28"/>
        <v>-7</v>
      </c>
      <c r="I102" s="37">
        <f t="shared" si="28"/>
        <v>-25</v>
      </c>
      <c r="J102" s="37">
        <f t="shared" si="28"/>
        <v>-111.1</v>
      </c>
      <c r="K102" s="37">
        <f t="shared" si="28"/>
        <v>3773.4600000000005</v>
      </c>
      <c r="L102" s="17">
        <f aca="true" t="shared" si="29" ref="L102:L109">+(D102-K102)/B102</f>
        <v>0.09899015400151474</v>
      </c>
    </row>
    <row r="103" spans="1:12" ht="12.75">
      <c r="A103" s="31"/>
      <c r="B103" s="47"/>
      <c r="C103" s="47"/>
      <c r="D103" s="47"/>
      <c r="E103" s="48"/>
      <c r="F103" s="48"/>
      <c r="G103" s="48"/>
      <c r="H103" s="48"/>
      <c r="I103" s="48"/>
      <c r="J103" s="48"/>
      <c r="K103" s="48"/>
      <c r="L103" s="16"/>
    </row>
    <row r="104" spans="1:12" ht="12.75">
      <c r="A104" s="26" t="s">
        <v>14</v>
      </c>
      <c r="B104" s="36">
        <f>+SUM(B105:B109)</f>
        <v>1223</v>
      </c>
      <c r="C104" s="36">
        <f aca="true" t="shared" si="30" ref="C104:C109">+D104-B104</f>
        <v>171.72000000000025</v>
      </c>
      <c r="D104" s="36">
        <f>+SUM(D105:D109)</f>
        <v>1394.7200000000003</v>
      </c>
      <c r="E104" s="38">
        <f>+SUM(E105:E109)</f>
        <v>0</v>
      </c>
      <c r="F104" s="38">
        <f aca="true" t="shared" si="31" ref="F104:K104">+SUM(F105:F109)</f>
        <v>50</v>
      </c>
      <c r="G104" s="38">
        <f t="shared" si="31"/>
        <v>-260</v>
      </c>
      <c r="H104" s="38">
        <f t="shared" si="31"/>
        <v>0</v>
      </c>
      <c r="I104" s="38">
        <f t="shared" si="31"/>
        <v>0</v>
      </c>
      <c r="J104" s="38">
        <f t="shared" si="31"/>
        <v>0</v>
      </c>
      <c r="K104" s="38">
        <f t="shared" si="31"/>
        <v>1184.7200000000003</v>
      </c>
      <c r="L104" s="17">
        <f t="shared" si="29"/>
        <v>0.17170891251022077</v>
      </c>
    </row>
    <row r="105" spans="1:12" ht="12.75">
      <c r="A105" s="10" t="s">
        <v>15</v>
      </c>
      <c r="B105" s="41">
        <v>484</v>
      </c>
      <c r="C105" s="39">
        <f t="shared" si="30"/>
        <v>73.60000000000002</v>
      </c>
      <c r="D105" s="41">
        <v>557.6</v>
      </c>
      <c r="E105" s="42">
        <f>(+'[11]Summary- Emp Services'!$F$150)</f>
        <v>0</v>
      </c>
      <c r="F105" s="42">
        <f>(+'[11]Summary- Emp Services'!$F$152)</f>
        <v>0</v>
      </c>
      <c r="G105" s="42">
        <f>(+'[11]Summary- Emp Services'!$F$154)</f>
        <v>-120</v>
      </c>
      <c r="H105" s="42">
        <f>(+'[11]Summary- Emp Services'!$F$156)</f>
        <v>0</v>
      </c>
      <c r="I105" s="42">
        <f>+'[14]FC 40% Budget'!BH102</f>
        <v>0</v>
      </c>
      <c r="J105" s="42">
        <f>+'[14]SR - 40% Budget'!BI119</f>
        <v>0</v>
      </c>
      <c r="K105" s="40">
        <f>+SUM(D105:J105)</f>
        <v>437.6</v>
      </c>
      <c r="L105" s="19">
        <f t="shared" si="29"/>
        <v>0.24793388429752067</v>
      </c>
    </row>
    <row r="106" spans="1:12" ht="12.75">
      <c r="A106" s="10" t="s">
        <v>16</v>
      </c>
      <c r="B106" s="41">
        <v>40</v>
      </c>
      <c r="C106" s="39">
        <f t="shared" si="30"/>
        <v>20.009999999999998</v>
      </c>
      <c r="D106" s="41">
        <v>60.01</v>
      </c>
      <c r="E106" s="42">
        <f>(+'[11]Summary- H&amp;S'!$F$150)</f>
        <v>0</v>
      </c>
      <c r="F106" s="42">
        <f>(+'[11]Summary- H&amp;S'!$F$152)</f>
        <v>0</v>
      </c>
      <c r="G106" s="42">
        <f>(+'[11]Summary- H&amp;S'!$F$154)</f>
        <v>-30</v>
      </c>
      <c r="H106" s="42">
        <f>(+'[11]Summary- H&amp;S'!$F$156)</f>
        <v>0</v>
      </c>
      <c r="I106" s="42">
        <f>+'[14]FC 40% Budget'!BH103</f>
        <v>0</v>
      </c>
      <c r="J106" s="42">
        <f>+'[14]SR - 40% Budget'!BI120</f>
        <v>0</v>
      </c>
      <c r="K106" s="40">
        <f>+SUM(D106:J106)</f>
        <v>30.009999999999998</v>
      </c>
      <c r="L106" s="19">
        <f t="shared" si="29"/>
        <v>0.75</v>
      </c>
    </row>
    <row r="107" spans="1:12" ht="12.75">
      <c r="A107" s="10" t="s">
        <v>17</v>
      </c>
      <c r="B107" s="41">
        <v>19</v>
      </c>
      <c r="C107" s="39">
        <f t="shared" si="30"/>
        <v>-19.34</v>
      </c>
      <c r="D107" s="41">
        <v>-0.34</v>
      </c>
      <c r="E107" s="42">
        <f>(+'[11]Summary- Job Eval'!$F$150)</f>
        <v>0</v>
      </c>
      <c r="F107" s="42">
        <f>(+'[11]Summary- Job Eval'!$F$152)</f>
        <v>0</v>
      </c>
      <c r="G107" s="42">
        <f>(+'[11]Summary- Job Eval'!$F$154)</f>
        <v>0</v>
      </c>
      <c r="H107" s="42">
        <f>(+'[11]Summary- Job Eval'!$F$156)</f>
        <v>0</v>
      </c>
      <c r="I107" s="42">
        <f>+'[14]FC 40% Budget'!BH104</f>
        <v>0</v>
      </c>
      <c r="J107" s="42">
        <f>+'[14]SR - 40% Budget'!BI121</f>
        <v>0</v>
      </c>
      <c r="K107" s="40">
        <f>+SUM(D107:J107)</f>
        <v>-0.34</v>
      </c>
      <c r="L107" s="19">
        <f t="shared" si="29"/>
        <v>0</v>
      </c>
    </row>
    <row r="108" spans="1:12" ht="12.75">
      <c r="A108" s="10" t="s">
        <v>18</v>
      </c>
      <c r="B108" s="41">
        <v>591</v>
      </c>
      <c r="C108" s="39">
        <f t="shared" si="30"/>
        <v>-1.17999999999995</v>
      </c>
      <c r="D108" s="41">
        <v>589.82</v>
      </c>
      <c r="E108" s="42">
        <f>(+'[11]Summary- Learning &amp; Dev'!$F$150)</f>
        <v>0</v>
      </c>
      <c r="F108" s="42">
        <f>(+'[11]Summary- Learning &amp; Dev'!$F$152)</f>
        <v>0</v>
      </c>
      <c r="G108" s="42">
        <f>(+'[11]Summary- Learning &amp; Dev'!$F$154)</f>
        <v>0</v>
      </c>
      <c r="H108" s="42">
        <f>(+'[11]Summary- Learning &amp; Dev'!$F$156)</f>
        <v>0</v>
      </c>
      <c r="I108" s="42">
        <f>+'[14]FC 40% Budget'!BH105</f>
        <v>0</v>
      </c>
      <c r="J108" s="42">
        <f>+'[14]SR - 40% Budget'!BI122</f>
        <v>0</v>
      </c>
      <c r="K108" s="40">
        <f>+SUM(D108:J108)</f>
        <v>589.82</v>
      </c>
      <c r="L108" s="19">
        <f t="shared" si="29"/>
        <v>0</v>
      </c>
    </row>
    <row r="109" spans="1:12" ht="12.75">
      <c r="A109" s="10" t="s">
        <v>19</v>
      </c>
      <c r="B109" s="41">
        <v>89</v>
      </c>
      <c r="C109" s="39">
        <f t="shared" si="30"/>
        <v>98.63</v>
      </c>
      <c r="D109" s="41">
        <v>187.63</v>
      </c>
      <c r="E109" s="42">
        <f>(+'[11]Summary- Payroll'!$F$150)</f>
        <v>0</v>
      </c>
      <c r="F109" s="42">
        <f>(+'[11]Summary- Payroll'!$F$152)</f>
        <v>50</v>
      </c>
      <c r="G109" s="42">
        <f>(+'[11]Summary- Payroll'!$F$154)</f>
        <v>-110</v>
      </c>
      <c r="H109" s="42">
        <f>(+'[11]Summary- Payroll'!$F$156)</f>
        <v>0</v>
      </c>
      <c r="I109" s="42">
        <f>+'[14]FC 40% Budget'!BH106</f>
        <v>0</v>
      </c>
      <c r="J109" s="42">
        <f>+'[14]SR - 40% Budget'!BI123</f>
        <v>0</v>
      </c>
      <c r="K109" s="40">
        <f>+SUM(D109:J109)</f>
        <v>127.63</v>
      </c>
      <c r="L109" s="19">
        <f t="shared" si="29"/>
        <v>0.6741573033707865</v>
      </c>
    </row>
    <row r="110" spans="1:12" ht="12.75">
      <c r="A110" s="10"/>
      <c r="B110" s="41"/>
      <c r="C110" s="41"/>
      <c r="D110" s="41"/>
      <c r="E110" s="42"/>
      <c r="F110" s="42"/>
      <c r="G110" s="42"/>
      <c r="H110" s="42"/>
      <c r="I110" s="42"/>
      <c r="J110" s="42"/>
      <c r="K110" s="42"/>
      <c r="L110" s="16"/>
    </row>
    <row r="111" spans="1:12" ht="12.75">
      <c r="A111" s="27"/>
      <c r="B111" s="47"/>
      <c r="C111" s="47"/>
      <c r="D111" s="47"/>
      <c r="E111" s="48"/>
      <c r="F111" s="48"/>
      <c r="G111" s="48"/>
      <c r="H111" s="48"/>
      <c r="I111" s="48"/>
      <c r="J111" s="48"/>
      <c r="K111" s="48"/>
      <c r="L111" s="16"/>
    </row>
    <row r="112" spans="1:12" ht="12.75">
      <c r="A112" s="26" t="s">
        <v>23</v>
      </c>
      <c r="B112" s="36">
        <f>+SUM(B113:B118)</f>
        <v>2738</v>
      </c>
      <c r="C112" s="36">
        <f>+D112-B112</f>
        <v>32.840000000000146</v>
      </c>
      <c r="D112" s="36">
        <f>+SUM(D113:D118)</f>
        <v>2770.84</v>
      </c>
      <c r="E112" s="38">
        <f aca="true" t="shared" si="32" ref="E112:K112">+SUM(E113:E118)</f>
        <v>0</v>
      </c>
      <c r="F112" s="38">
        <f t="shared" si="32"/>
        <v>0</v>
      </c>
      <c r="G112" s="38">
        <f t="shared" si="32"/>
        <v>-39</v>
      </c>
      <c r="H112" s="38">
        <f t="shared" si="32"/>
        <v>-7</v>
      </c>
      <c r="I112" s="38">
        <f t="shared" si="32"/>
        <v>-25</v>
      </c>
      <c r="J112" s="38">
        <f t="shared" si="32"/>
        <v>-111.1</v>
      </c>
      <c r="K112" s="38">
        <f t="shared" si="32"/>
        <v>2588.7400000000002</v>
      </c>
      <c r="L112" s="17">
        <f aca="true" t="shared" si="33" ref="L112:L120">+(D112-K112)/B112</f>
        <v>0.06650840029218404</v>
      </c>
    </row>
    <row r="113" spans="1:12" ht="12.75">
      <c r="A113" s="11" t="s">
        <v>62</v>
      </c>
      <c r="B113" s="41">
        <v>339</v>
      </c>
      <c r="C113" s="39">
        <f aca="true" t="shared" si="34" ref="C113:C118">+D113-B113</f>
        <v>-1.7900000000000205</v>
      </c>
      <c r="D113" s="41">
        <v>337.21</v>
      </c>
      <c r="E113" s="42">
        <f>(+'[7]Summary- Committees'!$F$148)</f>
        <v>0</v>
      </c>
      <c r="F113" s="42">
        <f>(+'[7]Summary- Committees'!$F$150)</f>
        <v>0</v>
      </c>
      <c r="G113" s="42">
        <f>(+'[7]Summary- Committees'!$F$152)</f>
        <v>-37</v>
      </c>
      <c r="H113" s="42">
        <f>(+'[7]Summary- Committees'!$F$154)</f>
        <v>0</v>
      </c>
      <c r="I113" s="42">
        <f>+'[14]FC 40% Budget'!BH110</f>
        <v>0</v>
      </c>
      <c r="J113" s="42">
        <f>+'[14]SR - 40% Budget'!BI127</f>
        <v>-72.1</v>
      </c>
      <c r="K113" s="40">
        <f aca="true" t="shared" si="35" ref="K113:K118">+SUM(D113:J113)</f>
        <v>228.10999999999999</v>
      </c>
      <c r="L113" s="19">
        <f t="shared" si="33"/>
        <v>0.32182890855457225</v>
      </c>
    </row>
    <row r="114" spans="1:12" ht="12.75">
      <c r="A114" s="11" t="s">
        <v>63</v>
      </c>
      <c r="B114" s="41">
        <v>173</v>
      </c>
      <c r="C114" s="39">
        <f t="shared" si="34"/>
        <v>-0.13999999999998636</v>
      </c>
      <c r="D114" s="41">
        <v>172.86</v>
      </c>
      <c r="E114" s="42">
        <f>(+'[7]Summary- Election Services'!$F$150)</f>
        <v>0</v>
      </c>
      <c r="F114" s="42">
        <f>(+'[7]Summary- Election Services'!$F$152)</f>
        <v>0</v>
      </c>
      <c r="G114" s="42">
        <f>(+'[7]Summary- Election Services'!$F$154)</f>
        <v>-1</v>
      </c>
      <c r="H114" s="42">
        <f>(+'[7]Summary- Election Services'!$F$156)</f>
        <v>0</v>
      </c>
      <c r="I114" s="42">
        <f>+'[14]FC 40% Budget'!BH111</f>
        <v>0</v>
      </c>
      <c r="J114" s="42">
        <f>+'[14]SR - 40% Budget'!BI128</f>
        <v>0</v>
      </c>
      <c r="K114" s="40">
        <f t="shared" si="35"/>
        <v>171.86</v>
      </c>
      <c r="L114" s="19">
        <f t="shared" si="33"/>
        <v>0.005780346820809248</v>
      </c>
    </row>
    <row r="115" spans="1:12" ht="12.75">
      <c r="A115" s="11" t="s">
        <v>64</v>
      </c>
      <c r="B115" s="41">
        <v>804</v>
      </c>
      <c r="C115" s="39">
        <f t="shared" si="34"/>
        <v>-4.149999999999977</v>
      </c>
      <c r="D115" s="41">
        <v>799.85</v>
      </c>
      <c r="E115" s="42">
        <f>(+'[7]Summary- Legal Services'!$F$149)</f>
        <v>0</v>
      </c>
      <c r="F115" s="42">
        <f>(+'[7]Summary- Legal Services'!$F$151)</f>
        <v>0</v>
      </c>
      <c r="G115" s="42">
        <f>(+'[7]Summary- Legal Services'!$F$153)</f>
        <v>0</v>
      </c>
      <c r="H115" s="42">
        <f>(+'[7]Summary- Legal Services'!$F$155)</f>
        <v>-7</v>
      </c>
      <c r="I115" s="42">
        <f>+'[14]FC 40% Budget'!BH112</f>
        <v>-25</v>
      </c>
      <c r="J115" s="42">
        <f>+'[14]SR - 40% Budget'!BI129</f>
        <v>-25</v>
      </c>
      <c r="K115" s="40">
        <f t="shared" si="35"/>
        <v>742.85</v>
      </c>
      <c r="L115" s="19">
        <f t="shared" si="33"/>
        <v>0.0708955223880597</v>
      </c>
    </row>
    <row r="116" spans="1:12" ht="12.75">
      <c r="A116" s="11" t="s">
        <v>65</v>
      </c>
      <c r="B116" s="41">
        <v>475</v>
      </c>
      <c r="C116" s="39">
        <f t="shared" si="34"/>
        <v>-1.8700000000000045</v>
      </c>
      <c r="D116" s="41">
        <v>473.13</v>
      </c>
      <c r="E116" s="42">
        <f>(+'[7]Summary- Member Services'!$F$150)</f>
        <v>0</v>
      </c>
      <c r="F116" s="42">
        <f>(+'[7]Summary- Member Services'!$F$152)</f>
        <v>0</v>
      </c>
      <c r="G116" s="42">
        <f>(+'[7]Summary- Member Services'!$F$154)</f>
        <v>-1</v>
      </c>
      <c r="H116" s="42">
        <f>(+'[7]Summary- Member Services'!$F$156)</f>
        <v>0</v>
      </c>
      <c r="I116" s="42">
        <f>+'[14]FC 40% Budget'!BH113</f>
        <v>0</v>
      </c>
      <c r="J116" s="42">
        <f>+'[14]SR - 40% Budget'!BI130</f>
        <v>0</v>
      </c>
      <c r="K116" s="40">
        <f t="shared" si="35"/>
        <v>472.13</v>
      </c>
      <c r="L116" s="19">
        <f t="shared" si="33"/>
        <v>0.002105263157894737</v>
      </c>
    </row>
    <row r="117" spans="1:12" ht="12.75">
      <c r="A117" s="11" t="s">
        <v>66</v>
      </c>
      <c r="B117" s="41">
        <v>68</v>
      </c>
      <c r="C117" s="39">
        <f t="shared" si="34"/>
        <v>-0.4099999999999966</v>
      </c>
      <c r="D117" s="41">
        <v>67.59</v>
      </c>
      <c r="E117" s="42">
        <f>(+'[7]Summary- Scrutiny'!$F$150)</f>
        <v>0</v>
      </c>
      <c r="F117" s="42">
        <f>(+'[7]Summary- Scrutiny'!$F$152)</f>
        <v>0</v>
      </c>
      <c r="G117" s="42">
        <f>(+'[7]Summary- Scrutiny'!$F$154)</f>
        <v>0</v>
      </c>
      <c r="H117" s="42">
        <f>(+'[7]Summary- Scrutiny'!$F$156)</f>
        <v>0</v>
      </c>
      <c r="I117" s="42">
        <f>+'[14]FC 40% Budget'!BH114</f>
        <v>0</v>
      </c>
      <c r="J117" s="42">
        <f>+'[14]SR - 40% Budget'!BI131</f>
        <v>-14</v>
      </c>
      <c r="K117" s="40">
        <f t="shared" si="35"/>
        <v>53.59</v>
      </c>
      <c r="L117" s="19">
        <f t="shared" si="33"/>
        <v>0.20588235294117646</v>
      </c>
    </row>
    <row r="118" spans="1:12" ht="12.75">
      <c r="A118" s="11" t="s">
        <v>67</v>
      </c>
      <c r="B118" s="41">
        <v>879</v>
      </c>
      <c r="C118" s="39">
        <f t="shared" si="34"/>
        <v>41.200000000000045</v>
      </c>
      <c r="D118" s="41">
        <v>920.2</v>
      </c>
      <c r="E118" s="42">
        <f>(+'[7]Summary- Exec Support'!$F$150)</f>
        <v>0</v>
      </c>
      <c r="F118" s="42">
        <f>(+'[7]Summary- Exec Support'!$F$152)</f>
        <v>0</v>
      </c>
      <c r="G118" s="42">
        <f>(+'[7]Summary- Exec Support'!$F$154)</f>
        <v>0</v>
      </c>
      <c r="H118" s="42">
        <f>(+'[7]Summary- Exec Support'!$F$156)</f>
        <v>0</v>
      </c>
      <c r="I118" s="42">
        <f>+'[14]FC 40% Budget'!BH115</f>
        <v>0</v>
      </c>
      <c r="J118" s="42">
        <f>+'[14]SR - 40% Budget'!BI132</f>
        <v>0</v>
      </c>
      <c r="K118" s="40">
        <f t="shared" si="35"/>
        <v>920.2</v>
      </c>
      <c r="L118" s="19">
        <f t="shared" si="33"/>
        <v>0</v>
      </c>
    </row>
    <row r="119" spans="1:12" ht="12.75">
      <c r="A119" s="29"/>
      <c r="B119" s="45"/>
      <c r="C119" s="45"/>
      <c r="D119" s="45"/>
      <c r="E119" s="46"/>
      <c r="F119" s="46"/>
      <c r="G119" s="46"/>
      <c r="H119" s="46"/>
      <c r="I119" s="46"/>
      <c r="J119" s="46"/>
      <c r="K119" s="46"/>
      <c r="L119" s="20"/>
    </row>
    <row r="120" spans="1:12" ht="41.25" customHeight="1">
      <c r="A120" s="32" t="s">
        <v>120</v>
      </c>
      <c r="B120" s="49">
        <f>+B4+B45+B65+B102</f>
        <v>26099</v>
      </c>
      <c r="C120" s="49">
        <f>+D120-B120</f>
        <v>-1431.1399999999994</v>
      </c>
      <c r="D120" s="49">
        <f aca="true" t="shared" si="36" ref="D120:K120">+D4+D45+D65+D102</f>
        <v>24667.86</v>
      </c>
      <c r="E120" s="50">
        <f t="shared" si="36"/>
        <v>15</v>
      </c>
      <c r="F120" s="50">
        <f t="shared" si="36"/>
        <v>1229</v>
      </c>
      <c r="G120" s="50">
        <f t="shared" si="36"/>
        <v>-3296.0501500000005</v>
      </c>
      <c r="H120" s="50">
        <f t="shared" si="36"/>
        <v>547.614</v>
      </c>
      <c r="I120" s="50">
        <f t="shared" si="36"/>
        <v>-757.64</v>
      </c>
      <c r="J120" s="50">
        <f t="shared" si="36"/>
        <v>-945.1000000000001</v>
      </c>
      <c r="K120" s="50">
        <f t="shared" si="36"/>
        <v>21460.68385</v>
      </c>
      <c r="L120" s="14">
        <f t="shared" si="33"/>
        <v>0.12288502049886967</v>
      </c>
    </row>
    <row r="121" spans="1:11" ht="12.75">
      <c r="A121" s="33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>
      <c r="A122" s="33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ht="12.75" hidden="1"/>
    <row r="124" spans="5:11" ht="12.75" hidden="1">
      <c r="E124" s="12">
        <v>14.987</v>
      </c>
      <c r="F124" s="12">
        <v>1229</v>
      </c>
      <c r="G124" s="12">
        <v>-3296.0501500000005</v>
      </c>
      <c r="H124" s="12">
        <v>547.614</v>
      </c>
      <c r="I124" s="12">
        <v>-757.64</v>
      </c>
      <c r="J124" s="12">
        <v>-955.1</v>
      </c>
      <c r="K124" s="12">
        <v>21450.67085</v>
      </c>
    </row>
    <row r="125" ht="12.75" hidden="1"/>
    <row r="126" spans="5:11" ht="12.75" hidden="1">
      <c r="E126" s="60">
        <f>+E124-E120</f>
        <v>-0.0129999999999999</v>
      </c>
      <c r="F126" s="60">
        <f aca="true" t="shared" si="37" ref="F126:K126">+F124-F120</f>
        <v>0</v>
      </c>
      <c r="G126" s="60">
        <f t="shared" si="37"/>
        <v>0</v>
      </c>
      <c r="H126" s="60">
        <f t="shared" si="37"/>
        <v>0</v>
      </c>
      <c r="I126" s="60">
        <f t="shared" si="37"/>
        <v>0</v>
      </c>
      <c r="J126" s="60">
        <f t="shared" si="37"/>
        <v>-9.999999999999886</v>
      </c>
      <c r="K126" s="60">
        <f t="shared" si="37"/>
        <v>-10.013000000002648</v>
      </c>
    </row>
    <row r="127" ht="12.75" hidden="1"/>
    <row r="128" ht="12.75" hidden="1"/>
  </sheetData>
  <mergeCells count="1">
    <mergeCell ref="A1:L1"/>
  </mergeCells>
  <conditionalFormatting sqref="L121:L65536 L5:L119 L2:L3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33" header="0.31496062992125984" footer="0.31496062992125984"/>
  <pageSetup fitToHeight="5" horizontalDpi="600" verticalDpi="600" orientation="landscape" paperSize="9" scale="75" r:id="rId1"/>
  <headerFooter alignWithMargins="0">
    <oddHeader>&amp;R&amp;16Appendix 2</oddHeader>
    <oddFooter>&amp;R&amp;16&amp;P</oddFooter>
  </headerFooter>
  <rowBreaks count="2" manualBreakCount="2">
    <brk id="44" max="11" man="1"/>
    <brk id="9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72"/>
  <sheetViews>
    <sheetView view="pageBreakPreview" zoomScale="60" zoomScaleNormal="75" workbookViewId="0" topLeftCell="A1">
      <pane ySplit="3" topLeftCell="BM7" activePane="bottomLeft" state="frozen"/>
      <selection pane="topLeft" activeCell="A1" sqref="A1"/>
      <selection pane="bottomLeft" activeCell="Y32" sqref="Y32"/>
    </sheetView>
  </sheetViews>
  <sheetFormatPr defaultColWidth="9.140625" defaultRowHeight="12.75" outlineLevelRow="1"/>
  <cols>
    <col min="1" max="1" width="35.140625" style="0" bestFit="1" customWidth="1"/>
    <col min="2" max="3" width="15.57421875" style="0" bestFit="1" customWidth="1"/>
    <col min="4" max="4" width="12.7109375" style="110" bestFit="1" customWidth="1"/>
    <col min="5" max="5" width="2.00390625" style="0" customWidth="1"/>
    <col min="6" max="7" width="15.57421875" style="0" bestFit="1" customWidth="1"/>
    <col min="8" max="8" width="12.140625" style="110" bestFit="1" customWidth="1"/>
    <col min="9" max="9" width="1.57421875" style="0" customWidth="1"/>
    <col min="10" max="10" width="15.57421875" style="0" bestFit="1" customWidth="1"/>
    <col min="11" max="11" width="14.140625" style="0" bestFit="1" customWidth="1"/>
    <col min="12" max="12" width="12.7109375" style="110" bestFit="1" customWidth="1"/>
    <col min="13" max="13" width="1.7109375" style="0" customWidth="1"/>
    <col min="14" max="14" width="9.57421875" style="0" bestFit="1" customWidth="1"/>
    <col min="15" max="15" width="14.140625" style="0" bestFit="1" customWidth="1"/>
    <col min="16" max="16" width="13.7109375" style="0" bestFit="1" customWidth="1"/>
    <col min="17" max="17" width="1.57421875" style="0" customWidth="1"/>
    <col min="18" max="18" width="9.57421875" style="0" hidden="1" customWidth="1"/>
    <col min="19" max="19" width="13.00390625" style="0" hidden="1" customWidth="1"/>
    <col min="20" max="20" width="12.28125" style="0" hidden="1" customWidth="1"/>
  </cols>
  <sheetData>
    <row r="1" spans="2:20" ht="12.75">
      <c r="B1" s="161" t="s">
        <v>101</v>
      </c>
      <c r="C1" s="161"/>
      <c r="D1" s="161"/>
      <c r="E1" s="3"/>
      <c r="F1" s="161" t="s">
        <v>102</v>
      </c>
      <c r="G1" s="161"/>
      <c r="H1" s="161"/>
      <c r="I1" s="3"/>
      <c r="J1" s="161" t="s">
        <v>183</v>
      </c>
      <c r="K1" s="161"/>
      <c r="L1" s="161"/>
      <c r="M1" s="3"/>
      <c r="N1" s="161" t="s">
        <v>184</v>
      </c>
      <c r="O1" s="161"/>
      <c r="P1" s="161"/>
      <c r="Q1" s="3"/>
      <c r="R1" s="161" t="s">
        <v>185</v>
      </c>
      <c r="S1" s="161"/>
      <c r="T1" s="161"/>
    </row>
    <row r="2" spans="2:20" ht="12.75">
      <c r="B2" s="120">
        <v>40575</v>
      </c>
      <c r="C2" s="120">
        <v>40787</v>
      </c>
      <c r="D2" s="111" t="s">
        <v>195</v>
      </c>
      <c r="E2" s="3"/>
      <c r="F2" s="120">
        <v>40575</v>
      </c>
      <c r="G2" s="120">
        <v>40787</v>
      </c>
      <c r="H2" s="111" t="s">
        <v>195</v>
      </c>
      <c r="I2" s="3"/>
      <c r="J2" s="120">
        <v>40575</v>
      </c>
      <c r="K2" s="120">
        <v>40787</v>
      </c>
      <c r="L2" s="111" t="s">
        <v>195</v>
      </c>
      <c r="M2" s="3"/>
      <c r="N2" s="120">
        <v>40575</v>
      </c>
      <c r="O2" s="120">
        <v>40787</v>
      </c>
      <c r="P2" s="3" t="s">
        <v>195</v>
      </c>
      <c r="Q2" s="3"/>
      <c r="R2" s="120">
        <v>40575</v>
      </c>
      <c r="S2" s="120">
        <v>40787</v>
      </c>
      <c r="T2" s="3" t="s">
        <v>195</v>
      </c>
    </row>
    <row r="3" spans="2:20" ht="12.75">
      <c r="B3" s="121" t="s">
        <v>73</v>
      </c>
      <c r="C3" s="121" t="s">
        <v>73</v>
      </c>
      <c r="D3" s="121" t="s">
        <v>73</v>
      </c>
      <c r="E3" s="122"/>
      <c r="F3" s="121" t="s">
        <v>73</v>
      </c>
      <c r="G3" s="121" t="s">
        <v>73</v>
      </c>
      <c r="H3" s="121" t="s">
        <v>73</v>
      </c>
      <c r="I3" s="122"/>
      <c r="J3" s="121" t="s">
        <v>73</v>
      </c>
      <c r="K3" s="121" t="s">
        <v>73</v>
      </c>
      <c r="L3" s="121" t="s">
        <v>73</v>
      </c>
      <c r="M3" s="122"/>
      <c r="N3" s="121" t="s">
        <v>73</v>
      </c>
      <c r="O3" s="121" t="s">
        <v>73</v>
      </c>
      <c r="P3" s="121" t="s">
        <v>73</v>
      </c>
      <c r="Q3" s="122"/>
      <c r="R3" s="121" t="s">
        <v>73</v>
      </c>
      <c r="S3" s="121" t="s">
        <v>73</v>
      </c>
      <c r="T3" s="121" t="s">
        <v>73</v>
      </c>
    </row>
    <row r="4" ht="15" outlineLevel="1">
      <c r="A4" s="109" t="s">
        <v>10</v>
      </c>
    </row>
    <row r="5" spans="1:20" ht="12.75" outlineLevel="1">
      <c r="A5" t="s">
        <v>25</v>
      </c>
      <c r="B5" s="113">
        <v>0</v>
      </c>
      <c r="C5" s="113">
        <f>+'2012-13'!C$6</f>
        <v>0</v>
      </c>
      <c r="D5" s="113">
        <f>+C5-B5</f>
        <v>0</v>
      </c>
      <c r="E5" s="113"/>
      <c r="F5" s="113">
        <v>0</v>
      </c>
      <c r="G5" s="113">
        <f>+'2013-14'!C$6</f>
        <v>0</v>
      </c>
      <c r="H5" s="113">
        <f>+G5-F5</f>
        <v>0</v>
      </c>
      <c r="I5" s="113"/>
      <c r="J5" s="113">
        <v>0</v>
      </c>
      <c r="K5" s="113">
        <f>+'2014-15'!C$6</f>
        <v>0</v>
      </c>
      <c r="L5" s="113">
        <f>+K5-J5</f>
        <v>0</v>
      </c>
      <c r="M5" s="113"/>
      <c r="N5" s="113"/>
      <c r="O5" s="113">
        <f>+'2015-16'!C$6</f>
        <v>0</v>
      </c>
      <c r="P5" s="113"/>
      <c r="Q5" s="113"/>
      <c r="R5" s="113"/>
      <c r="S5" s="113">
        <f>+'2016-17'!C$6</f>
        <v>0</v>
      </c>
      <c r="T5" s="113"/>
    </row>
    <row r="6" spans="1:20" ht="12.75" outlineLevel="1">
      <c r="A6" t="s">
        <v>35</v>
      </c>
      <c r="B6" s="113">
        <v>0</v>
      </c>
      <c r="C6" s="113">
        <f>+'2012-13'!C$13</f>
        <v>0</v>
      </c>
      <c r="D6" s="113">
        <f>+C6-B6</f>
        <v>0</v>
      </c>
      <c r="E6" s="113"/>
      <c r="F6" s="113">
        <v>0</v>
      </c>
      <c r="G6" s="113">
        <f>+'2013-14'!C$13</f>
        <v>0</v>
      </c>
      <c r="H6" s="113">
        <f>+G6-F6</f>
        <v>0</v>
      </c>
      <c r="I6" s="113"/>
      <c r="J6" s="113">
        <v>0</v>
      </c>
      <c r="K6" s="113">
        <f>+'2014-15'!C$13</f>
        <v>0</v>
      </c>
      <c r="L6" s="113">
        <f>+K6-J6</f>
        <v>0</v>
      </c>
      <c r="M6" s="113"/>
      <c r="N6" s="113"/>
      <c r="O6" s="113">
        <f>+'2015-16'!C$13</f>
        <v>0</v>
      </c>
      <c r="P6" s="113"/>
      <c r="Q6" s="113"/>
      <c r="R6" s="113"/>
      <c r="S6" s="113">
        <f>+'2016-17'!C$13</f>
        <v>0</v>
      </c>
      <c r="T6" s="113"/>
    </row>
    <row r="7" spans="1:20" ht="13.5" customHeight="1" outlineLevel="1">
      <c r="A7" t="s">
        <v>191</v>
      </c>
      <c r="B7" s="113">
        <v>0</v>
      </c>
      <c r="C7" s="113">
        <f>+'2012-13'!C$19</f>
        <v>0</v>
      </c>
      <c r="D7" s="113">
        <f>+C7-B7</f>
        <v>0</v>
      </c>
      <c r="E7" s="113"/>
      <c r="F7" s="113">
        <v>0</v>
      </c>
      <c r="G7" s="113">
        <f>+'2013-14'!C$19</f>
        <v>0</v>
      </c>
      <c r="H7" s="113">
        <f>+G7-F7</f>
        <v>0</v>
      </c>
      <c r="I7" s="113"/>
      <c r="J7" s="113">
        <v>0</v>
      </c>
      <c r="K7" s="113">
        <f>+'2014-15'!C$19</f>
        <v>0</v>
      </c>
      <c r="L7" s="113">
        <f>+K7-J7</f>
        <v>0</v>
      </c>
      <c r="M7" s="113"/>
      <c r="N7" s="113"/>
      <c r="O7" s="113">
        <f>+'2015-16'!C$19</f>
        <v>0</v>
      </c>
      <c r="P7" s="113"/>
      <c r="Q7" s="113"/>
      <c r="R7" s="113"/>
      <c r="S7" s="113">
        <f>+'2016-17'!C$19</f>
        <v>0</v>
      </c>
      <c r="T7" s="113"/>
    </row>
    <row r="8" spans="1:20" s="3" customFormat="1" ht="13.5" outlineLevel="1" thickBot="1">
      <c r="A8" s="3" t="s">
        <v>24</v>
      </c>
      <c r="B8" s="114">
        <f>+SUM(B5:B7)</f>
        <v>0</v>
      </c>
      <c r="C8" s="114">
        <f>+SUM(C5:C7)</f>
        <v>0</v>
      </c>
      <c r="D8" s="114">
        <f>+SUM(D5:D7)</f>
        <v>0</v>
      </c>
      <c r="E8" s="115"/>
      <c r="F8" s="114">
        <f>+SUM(F5:F7)</f>
        <v>0</v>
      </c>
      <c r="G8" s="114">
        <f>+SUM(G5:G7)</f>
        <v>0</v>
      </c>
      <c r="H8" s="114">
        <f>+SUM(H5:H7)</f>
        <v>0</v>
      </c>
      <c r="I8" s="116"/>
      <c r="J8" s="114">
        <f>+SUM(J5:J7)</f>
        <v>0</v>
      </c>
      <c r="K8" s="114">
        <f>+SUM(K5:K7)</f>
        <v>0</v>
      </c>
      <c r="L8" s="114">
        <f>+SUM(L5:L7)</f>
        <v>0</v>
      </c>
      <c r="M8" s="116"/>
      <c r="N8" s="114">
        <f>+SUM(N5:N7)</f>
        <v>0</v>
      </c>
      <c r="O8" s="114">
        <f>+SUM(O5:O7)</f>
        <v>0</v>
      </c>
      <c r="P8" s="114">
        <f>+SUM(P5:P7)</f>
        <v>0</v>
      </c>
      <c r="Q8" s="116"/>
      <c r="R8" s="114">
        <f>+SUM(R5:R7)</f>
        <v>0</v>
      </c>
      <c r="S8" s="114">
        <f>+SUM(S5:S7)</f>
        <v>0</v>
      </c>
      <c r="T8" s="114">
        <f>+SUM(T5:T7)</f>
        <v>0</v>
      </c>
    </row>
    <row r="9" spans="2:20" ht="12.75" outlineLevel="1"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</row>
    <row r="10" spans="1:20" ht="12.75" outlineLevel="1">
      <c r="A10" t="s">
        <v>7</v>
      </c>
      <c r="B10" s="113">
        <v>0</v>
      </c>
      <c r="C10" s="113">
        <f>+'2012-13'!C$29</f>
        <v>0</v>
      </c>
      <c r="D10" s="113">
        <f>+C10-B10</f>
        <v>0</v>
      </c>
      <c r="E10" s="113"/>
      <c r="F10" s="113">
        <v>0</v>
      </c>
      <c r="G10" s="113">
        <f>+'2013-14'!C$29</f>
        <v>0</v>
      </c>
      <c r="H10" s="113">
        <f>+G10-F10</f>
        <v>0</v>
      </c>
      <c r="I10" s="113"/>
      <c r="J10" s="113">
        <v>0</v>
      </c>
      <c r="K10" s="113">
        <f>+'2014-15'!C$29</f>
        <v>0</v>
      </c>
      <c r="L10" s="113">
        <f>+K10-J10</f>
        <v>0</v>
      </c>
      <c r="M10" s="113"/>
      <c r="N10" s="113"/>
      <c r="O10" s="113">
        <f>+'2015-16'!C$29</f>
        <v>0</v>
      </c>
      <c r="P10" s="113"/>
      <c r="Q10" s="113"/>
      <c r="R10" s="113"/>
      <c r="S10" s="113">
        <f>+'2016-17'!C$29</f>
        <v>0</v>
      </c>
      <c r="T10" s="113"/>
    </row>
    <row r="11" spans="1:20" ht="12.75" outlineLevel="1">
      <c r="A11" t="s">
        <v>192</v>
      </c>
      <c r="B11" s="113">
        <v>16</v>
      </c>
      <c r="C11" s="113">
        <f>+'2012-13'!C$37</f>
        <v>98.12181699999998</v>
      </c>
      <c r="D11" s="113">
        <f>+C11-B11</f>
        <v>82.12181699999998</v>
      </c>
      <c r="E11" s="113"/>
      <c r="F11" s="113">
        <v>13</v>
      </c>
      <c r="G11" s="113">
        <f>+'2013-14'!C$37</f>
        <v>100.66790785000002</v>
      </c>
      <c r="H11" s="113">
        <f>+G11-F11</f>
        <v>87.66790785000002</v>
      </c>
      <c r="I11" s="113"/>
      <c r="J11" s="113">
        <v>13</v>
      </c>
      <c r="K11" s="113">
        <f>+'2014-15'!C$37</f>
        <v>104.40130324250018</v>
      </c>
      <c r="L11" s="113">
        <f>+K11-J11</f>
        <v>91.40130324250018</v>
      </c>
      <c r="M11" s="113"/>
      <c r="N11" s="113"/>
      <c r="O11" s="113">
        <f>+'2015-16'!C$37</f>
        <v>0</v>
      </c>
      <c r="P11" s="113"/>
      <c r="Q11" s="113"/>
      <c r="R11" s="113"/>
      <c r="S11" s="113">
        <f>+'2016-17'!C$37</f>
        <v>0</v>
      </c>
      <c r="T11" s="113"/>
    </row>
    <row r="12" spans="1:20" ht="12.75" outlineLevel="1">
      <c r="A12" t="s">
        <v>148</v>
      </c>
      <c r="B12" s="113">
        <v>0</v>
      </c>
      <c r="C12" s="113">
        <f>+'2012-13'!C$42</f>
        <v>0</v>
      </c>
      <c r="D12" s="113">
        <f>+C12-B12</f>
        <v>0</v>
      </c>
      <c r="E12" s="113"/>
      <c r="F12" s="113">
        <v>0</v>
      </c>
      <c r="G12" s="113">
        <f>+'2013-14'!C$42</f>
        <v>0</v>
      </c>
      <c r="H12" s="113">
        <f>+G12-F12</f>
        <v>0</v>
      </c>
      <c r="I12" s="113"/>
      <c r="J12" s="113">
        <v>0</v>
      </c>
      <c r="K12" s="113">
        <f>+'2014-15'!C$42</f>
        <v>0</v>
      </c>
      <c r="L12" s="113">
        <f>+K12-J12</f>
        <v>0</v>
      </c>
      <c r="M12" s="113"/>
      <c r="N12" s="113"/>
      <c r="O12" s="113">
        <f>+'2015-16'!C$42</f>
        <v>0</v>
      </c>
      <c r="P12" s="113"/>
      <c r="Q12" s="113"/>
      <c r="R12" s="113"/>
      <c r="S12" s="113">
        <f>+'2016-17'!C$42</f>
        <v>0</v>
      </c>
      <c r="T12" s="113"/>
    </row>
    <row r="13" spans="1:20" s="3" customFormat="1" ht="13.5" outlineLevel="1" thickBot="1">
      <c r="A13" s="3" t="s">
        <v>36</v>
      </c>
      <c r="B13" s="114">
        <f>+SUM(B10:B12)</f>
        <v>16</v>
      </c>
      <c r="C13" s="114">
        <f>+SUM(C10:C12)</f>
        <v>98.12181699999998</v>
      </c>
      <c r="D13" s="114">
        <f>+SUM(D10:D12)</f>
        <v>82.12181699999998</v>
      </c>
      <c r="E13" s="115"/>
      <c r="F13" s="114">
        <f>+SUM(F10:F12)</f>
        <v>13</v>
      </c>
      <c r="G13" s="114">
        <f>+SUM(G10:G12)</f>
        <v>100.66790785000002</v>
      </c>
      <c r="H13" s="114">
        <f>+SUM(H10:H12)</f>
        <v>87.66790785000002</v>
      </c>
      <c r="I13" s="116"/>
      <c r="J13" s="114">
        <f>+SUM(J10:J12)</f>
        <v>13</v>
      </c>
      <c r="K13" s="114">
        <f>+SUM(K10:K12)</f>
        <v>104.40130324250018</v>
      </c>
      <c r="L13" s="114">
        <f>+SUM(L10:L12)</f>
        <v>91.40130324250018</v>
      </c>
      <c r="M13" s="116"/>
      <c r="N13" s="114">
        <f>+SUM(N10:N12)</f>
        <v>0</v>
      </c>
      <c r="O13" s="114">
        <f>+SUM(O10:O12)</f>
        <v>0</v>
      </c>
      <c r="P13" s="114">
        <f>+SUM(P10:P12)</f>
        <v>0</v>
      </c>
      <c r="Q13" s="116"/>
      <c r="R13" s="114">
        <f>+SUM(R10:R12)</f>
        <v>0</v>
      </c>
      <c r="S13" s="114">
        <f>+SUM(S10:S12)</f>
        <v>0</v>
      </c>
      <c r="T13" s="114">
        <f>+SUM(T10:T12)</f>
        <v>0</v>
      </c>
    </row>
    <row r="14" spans="2:20" ht="12.75" outlineLevel="1"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</row>
    <row r="15" spans="1:20" ht="12.75" outlineLevel="1">
      <c r="A15" t="s">
        <v>30</v>
      </c>
      <c r="B15" s="113">
        <v>0</v>
      </c>
      <c r="C15" s="113">
        <f>+'2012-13'!C$51</f>
        <v>0</v>
      </c>
      <c r="D15" s="113">
        <f>+C15-B15</f>
        <v>0</v>
      </c>
      <c r="E15" s="113"/>
      <c r="F15" s="113">
        <v>0</v>
      </c>
      <c r="G15" s="113">
        <f>+'2013-14'!C$51</f>
        <v>0</v>
      </c>
      <c r="H15" s="113">
        <f>+G15-F15</f>
        <v>0</v>
      </c>
      <c r="I15" s="113"/>
      <c r="J15" s="113">
        <v>0</v>
      </c>
      <c r="K15" s="113">
        <f>+'2014-15'!C$51</f>
        <v>0</v>
      </c>
      <c r="L15" s="113">
        <f>+K15-J15</f>
        <v>0</v>
      </c>
      <c r="M15" s="113"/>
      <c r="N15" s="113"/>
      <c r="O15" s="113">
        <f>+'2015-16'!C$51</f>
        <v>0</v>
      </c>
      <c r="P15" s="113"/>
      <c r="Q15" s="113"/>
      <c r="R15" s="113"/>
      <c r="S15" s="113">
        <f>+'2016-17'!C$51</f>
        <v>0</v>
      </c>
      <c r="T15" s="113"/>
    </row>
    <row r="16" spans="1:20" ht="12.75" outlineLevel="1">
      <c r="A16" t="s">
        <v>138</v>
      </c>
      <c r="B16" s="113">
        <v>0</v>
      </c>
      <c r="C16" s="113">
        <f>+'2012-13'!C$58</f>
        <v>150</v>
      </c>
      <c r="D16" s="113">
        <f>+C16-B16</f>
        <v>150</v>
      </c>
      <c r="E16" s="113"/>
      <c r="F16" s="113">
        <v>0</v>
      </c>
      <c r="G16" s="113">
        <f>+'2013-14'!C$58</f>
        <v>63</v>
      </c>
      <c r="H16" s="113">
        <f>+G16-F16</f>
        <v>63</v>
      </c>
      <c r="I16" s="113"/>
      <c r="J16" s="113">
        <v>0</v>
      </c>
      <c r="K16" s="113">
        <f>+'2014-15'!C$58</f>
        <v>64.26</v>
      </c>
      <c r="L16" s="113">
        <f>+K16-J16</f>
        <v>64.26</v>
      </c>
      <c r="M16" s="113"/>
      <c r="N16" s="113"/>
      <c r="O16" s="113">
        <f>+'2015-16'!C$58</f>
        <v>65.545</v>
      </c>
      <c r="P16" s="113"/>
      <c r="Q16" s="113"/>
      <c r="R16" s="113"/>
      <c r="S16" s="113">
        <f>+'2016-17'!C$58</f>
        <v>66.856</v>
      </c>
      <c r="T16" s="113"/>
    </row>
    <row r="17" spans="1:20" ht="12.75" outlineLevel="1">
      <c r="A17" t="s">
        <v>21</v>
      </c>
      <c r="B17" s="113">
        <v>0</v>
      </c>
      <c r="C17" s="113">
        <f>+'2012-13'!C$70</f>
        <v>0</v>
      </c>
      <c r="D17" s="113">
        <f>+C17-B17</f>
        <v>0</v>
      </c>
      <c r="E17" s="113"/>
      <c r="F17" s="113">
        <v>0</v>
      </c>
      <c r="G17" s="113">
        <f>+'2013-14'!C$70</f>
        <v>0</v>
      </c>
      <c r="H17" s="113">
        <f>+G17-F17</f>
        <v>0</v>
      </c>
      <c r="I17" s="113"/>
      <c r="J17" s="113">
        <v>0</v>
      </c>
      <c r="K17" s="113">
        <f>+'2014-15'!C$70</f>
        <v>0</v>
      </c>
      <c r="L17" s="113">
        <f>+K17-J17</f>
        <v>0</v>
      </c>
      <c r="M17" s="113"/>
      <c r="N17" s="113"/>
      <c r="O17" s="113">
        <f>+'2015-16'!C$70</f>
        <v>0</v>
      </c>
      <c r="P17" s="113"/>
      <c r="Q17" s="113"/>
      <c r="R17" s="113"/>
      <c r="S17" s="113">
        <f>+'2016-17'!C$70</f>
        <v>0</v>
      </c>
      <c r="T17" s="113"/>
    </row>
    <row r="18" spans="1:20" ht="12.75" outlineLevel="1">
      <c r="A18" t="s">
        <v>38</v>
      </c>
      <c r="B18" s="113">
        <v>0</v>
      </c>
      <c r="C18" s="113">
        <f>+'2012-13'!C$76</f>
        <v>0</v>
      </c>
      <c r="D18" s="113">
        <f>+C18-B18</f>
        <v>0</v>
      </c>
      <c r="E18" s="113"/>
      <c r="F18" s="113">
        <v>0</v>
      </c>
      <c r="G18" s="113">
        <f>+'2013-14'!C$76</f>
        <v>-2</v>
      </c>
      <c r="H18" s="113">
        <f>+G18-F18</f>
        <v>-2</v>
      </c>
      <c r="I18" s="113"/>
      <c r="J18" s="113">
        <v>0</v>
      </c>
      <c r="K18" s="113">
        <f>+'2014-15'!C$76</f>
        <v>7</v>
      </c>
      <c r="L18" s="113">
        <f>+K18-J18</f>
        <v>7</v>
      </c>
      <c r="M18" s="113"/>
      <c r="N18" s="113"/>
      <c r="O18" s="113">
        <f>+'2015-16'!C$76</f>
        <v>8</v>
      </c>
      <c r="P18" s="113"/>
      <c r="Q18" s="113"/>
      <c r="R18" s="113"/>
      <c r="S18" s="113">
        <f>+'2016-17'!C$76</f>
        <v>3</v>
      </c>
      <c r="T18" s="113"/>
    </row>
    <row r="19" spans="1:20" s="3" customFormat="1" ht="13.5" outlineLevel="1" thickBot="1">
      <c r="A19" s="3" t="s">
        <v>29</v>
      </c>
      <c r="B19" s="114">
        <f>+SUM(B15:B18)</f>
        <v>0</v>
      </c>
      <c r="C19" s="114">
        <f>+SUM(C15:C18)</f>
        <v>150</v>
      </c>
      <c r="D19" s="114">
        <f>+SUM(D15:D18)</f>
        <v>150</v>
      </c>
      <c r="E19" s="115"/>
      <c r="F19" s="114">
        <f>+SUM(F15:F18)</f>
        <v>0</v>
      </c>
      <c r="G19" s="114">
        <f>+SUM(G15:G18)</f>
        <v>61</v>
      </c>
      <c r="H19" s="114">
        <f>+SUM(H15:H18)</f>
        <v>61</v>
      </c>
      <c r="I19" s="116"/>
      <c r="J19" s="114">
        <f>+SUM(J15:J18)</f>
        <v>0</v>
      </c>
      <c r="K19" s="114">
        <f>+SUM(K15:K18)</f>
        <v>71.26</v>
      </c>
      <c r="L19" s="114">
        <f>+SUM(L15:L18)</f>
        <v>71.26</v>
      </c>
      <c r="M19" s="116"/>
      <c r="N19" s="114">
        <f>+SUM(N15:N18)</f>
        <v>0</v>
      </c>
      <c r="O19" s="114">
        <f>+SUM(O15:O18)</f>
        <v>73.545</v>
      </c>
      <c r="P19" s="114">
        <f>+SUM(P15:P18)</f>
        <v>0</v>
      </c>
      <c r="Q19" s="116"/>
      <c r="R19" s="114">
        <f>+SUM(R15:R18)</f>
        <v>0</v>
      </c>
      <c r="S19" s="114">
        <f>+SUM(S15:S18)</f>
        <v>69.856</v>
      </c>
      <c r="T19" s="114">
        <f>+SUM(T15:T18)</f>
        <v>0</v>
      </c>
    </row>
    <row r="20" spans="2:20" ht="12.75" outlineLevel="1"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</row>
    <row r="21" spans="1:20" ht="12.75" outlineLevel="1">
      <c r="A21" t="s">
        <v>194</v>
      </c>
      <c r="B21" s="113">
        <v>0</v>
      </c>
      <c r="C21" s="113">
        <f>+'2012-13'!C$89</f>
        <v>0</v>
      </c>
      <c r="D21" s="113">
        <f>+C21-B21</f>
        <v>0</v>
      </c>
      <c r="E21" s="113"/>
      <c r="F21" s="113">
        <v>0</v>
      </c>
      <c r="G21" s="113">
        <f>+'2013-14'!C$89</f>
        <v>0</v>
      </c>
      <c r="H21" s="113">
        <f>+G21-F21</f>
        <v>0</v>
      </c>
      <c r="I21" s="113"/>
      <c r="J21" s="113">
        <v>0</v>
      </c>
      <c r="K21" s="113">
        <f>+'2014-15'!C$89</f>
        <v>0</v>
      </c>
      <c r="L21" s="113">
        <f>+K21-J21</f>
        <v>0</v>
      </c>
      <c r="M21" s="113"/>
      <c r="N21" s="113"/>
      <c r="O21" s="113">
        <f>+'2015-16'!C$89</f>
        <v>0</v>
      </c>
      <c r="P21" s="113"/>
      <c r="Q21" s="113"/>
      <c r="R21" s="113"/>
      <c r="S21" s="113">
        <f>+'2016-17'!C$89</f>
        <v>0</v>
      </c>
      <c r="T21" s="113"/>
    </row>
    <row r="22" spans="1:20" ht="12.75" outlineLevel="1">
      <c r="A22" t="s">
        <v>14</v>
      </c>
      <c r="B22" s="113">
        <v>0</v>
      </c>
      <c r="C22" s="113">
        <f>+'2012-13'!C$95</f>
        <v>0</v>
      </c>
      <c r="D22" s="113">
        <f>+C22-B22</f>
        <v>0</v>
      </c>
      <c r="E22" s="113"/>
      <c r="F22" s="113">
        <v>0</v>
      </c>
      <c r="G22" s="113">
        <f>+'2013-14'!C$95</f>
        <v>0</v>
      </c>
      <c r="H22" s="113">
        <f>+G22-F22</f>
        <v>0</v>
      </c>
      <c r="I22" s="113"/>
      <c r="J22" s="113">
        <v>0</v>
      </c>
      <c r="K22" s="113">
        <f>+'2014-15'!C$95</f>
        <v>0</v>
      </c>
      <c r="L22" s="113">
        <f>+K22-J22</f>
        <v>0</v>
      </c>
      <c r="M22" s="113"/>
      <c r="N22" s="113"/>
      <c r="O22" s="113">
        <f>+'2015-16'!C$95</f>
        <v>0</v>
      </c>
      <c r="P22" s="113"/>
      <c r="Q22" s="113"/>
      <c r="R22" s="113"/>
      <c r="S22" s="113">
        <f>+'2016-17'!C$95</f>
        <v>0</v>
      </c>
      <c r="T22" s="113"/>
    </row>
    <row r="23" spans="1:20" ht="12.75" outlineLevel="1">
      <c r="A23" t="s">
        <v>193</v>
      </c>
      <c r="B23" s="113">
        <v>0</v>
      </c>
      <c r="C23" s="113">
        <f>+'2012-13'!C$103</f>
        <v>0</v>
      </c>
      <c r="D23" s="113">
        <f>+C23-B23</f>
        <v>0</v>
      </c>
      <c r="E23" s="113"/>
      <c r="F23" s="113">
        <v>0</v>
      </c>
      <c r="G23" s="113">
        <f>+'2013-14'!C$103</f>
        <v>0</v>
      </c>
      <c r="H23" s="113">
        <f>+G23-F23</f>
        <v>0</v>
      </c>
      <c r="I23" s="113"/>
      <c r="J23" s="113">
        <v>0</v>
      </c>
      <c r="K23" s="113">
        <f>+'2014-15'!C$103</f>
        <v>0</v>
      </c>
      <c r="L23" s="113">
        <f>+K23-J23</f>
        <v>0</v>
      </c>
      <c r="M23" s="113"/>
      <c r="N23" s="113"/>
      <c r="O23" s="113">
        <f>+'2015-16'!C$103</f>
        <v>0</v>
      </c>
      <c r="P23" s="113"/>
      <c r="Q23" s="113"/>
      <c r="R23" s="113"/>
      <c r="S23" s="113">
        <f>+'2016-17'!C$103</f>
        <v>0</v>
      </c>
      <c r="T23" s="113"/>
    </row>
    <row r="24" spans="1:20" s="3" customFormat="1" ht="13.5" outlineLevel="1" thickBot="1">
      <c r="A24" s="3" t="s">
        <v>39</v>
      </c>
      <c r="B24" s="114">
        <f>+SUM(B21:B23)</f>
        <v>0</v>
      </c>
      <c r="C24" s="114">
        <f>+SUM(C21:C23)</f>
        <v>0</v>
      </c>
      <c r="D24" s="114">
        <f>+SUM(D21:D23)</f>
        <v>0</v>
      </c>
      <c r="E24" s="115"/>
      <c r="F24" s="114">
        <f>+SUM(F21:F23)</f>
        <v>0</v>
      </c>
      <c r="G24" s="114">
        <f>+SUM(G21:G23)</f>
        <v>0</v>
      </c>
      <c r="H24" s="114">
        <f>+SUM(H21:H23)</f>
        <v>0</v>
      </c>
      <c r="I24" s="116"/>
      <c r="J24" s="114">
        <f>+SUM(J21:J23)</f>
        <v>0</v>
      </c>
      <c r="K24" s="114">
        <f>+SUM(K21:K23)</f>
        <v>0</v>
      </c>
      <c r="L24" s="114">
        <f>+SUM(L21:L23)</f>
        <v>0</v>
      </c>
      <c r="M24" s="116"/>
      <c r="N24" s="114">
        <f>+SUM(N21:N23)</f>
        <v>0</v>
      </c>
      <c r="O24" s="114">
        <f>+SUM(O21:O23)</f>
        <v>0</v>
      </c>
      <c r="P24" s="114">
        <f>+SUM(P21:P23)</f>
        <v>0</v>
      </c>
      <c r="Q24" s="116"/>
      <c r="R24" s="114">
        <f>+SUM(R21:R23)</f>
        <v>0</v>
      </c>
      <c r="S24" s="114">
        <f>+SUM(S21:S23)</f>
        <v>0</v>
      </c>
      <c r="T24" s="114">
        <f>+SUM(T21:T23)</f>
        <v>0</v>
      </c>
    </row>
    <row r="25" spans="2:20" ht="12.75" outlineLevel="1"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</row>
    <row r="26" spans="1:20" s="112" customFormat="1" ht="17.25" thickBot="1">
      <c r="A26" s="123" t="s">
        <v>197</v>
      </c>
      <c r="B26" s="124">
        <f>+B24+B19+B13+B8</f>
        <v>16</v>
      </c>
      <c r="C26" s="124">
        <f>+C24+C19+C13+C8</f>
        <v>248.12181699999996</v>
      </c>
      <c r="D26" s="124">
        <f>+D24+D19+D13+D8</f>
        <v>232.12181699999996</v>
      </c>
      <c r="E26" s="117"/>
      <c r="F26" s="124">
        <f>+F24+F19+F13+F8</f>
        <v>13</v>
      </c>
      <c r="G26" s="124">
        <f>+G24+G19+G13+G8</f>
        <v>161.66790785</v>
      </c>
      <c r="H26" s="124">
        <f>+H24+H19+H13+H8</f>
        <v>148.66790785</v>
      </c>
      <c r="I26" s="118"/>
      <c r="J26" s="124">
        <f>+J24+J19+J13+J8</f>
        <v>13</v>
      </c>
      <c r="K26" s="124">
        <f>+K24+K19+K13+K8</f>
        <v>175.6613032425002</v>
      </c>
      <c r="L26" s="124">
        <f>+L24+L19+L13+L8</f>
        <v>162.6613032425002</v>
      </c>
      <c r="M26" s="118"/>
      <c r="N26" s="124">
        <f>+N24+N19+N13+N8</f>
        <v>0</v>
      </c>
      <c r="O26" s="124">
        <f>+O24+O19+O13+O8</f>
        <v>73.545</v>
      </c>
      <c r="P26" s="124">
        <f>+P24+P19+P13+P8</f>
        <v>0</v>
      </c>
      <c r="Q26" s="118"/>
      <c r="R26" s="124">
        <f>+R24+R19+R13+R8</f>
        <v>0</v>
      </c>
      <c r="S26" s="124">
        <f>+S24+S19+S13+S8</f>
        <v>69.856</v>
      </c>
      <c r="T26" s="124">
        <f>+T24+T19+T13+T8</f>
        <v>0</v>
      </c>
    </row>
    <row r="27" spans="2:20" ht="12.75"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</row>
    <row r="28" spans="1:20" ht="15" outlineLevel="1">
      <c r="A28" s="109" t="s">
        <v>1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</row>
    <row r="29" spans="1:20" ht="12.75" outlineLevel="1">
      <c r="A29" t="s">
        <v>25</v>
      </c>
      <c r="B29" s="113">
        <v>85</v>
      </c>
      <c r="C29" s="113">
        <f>+'2012-13'!D$6</f>
        <v>95</v>
      </c>
      <c r="D29" s="113">
        <f>+C29-B29</f>
        <v>10</v>
      </c>
      <c r="E29" s="113"/>
      <c r="F29" s="113">
        <v>0</v>
      </c>
      <c r="G29" s="113">
        <f>+'2013-14'!D$6</f>
        <v>40</v>
      </c>
      <c r="H29" s="113">
        <f>+G29-F29</f>
        <v>40</v>
      </c>
      <c r="I29" s="113"/>
      <c r="J29" s="113">
        <v>0</v>
      </c>
      <c r="K29" s="113">
        <f>+'2014-15'!D$6</f>
        <v>0</v>
      </c>
      <c r="L29" s="113">
        <f>+K29-J29</f>
        <v>0</v>
      </c>
      <c r="M29" s="113"/>
      <c r="N29" s="113"/>
      <c r="O29" s="113">
        <f>+'2015-16'!D$6</f>
        <v>0</v>
      </c>
      <c r="P29" s="113"/>
      <c r="Q29" s="113"/>
      <c r="R29" s="113"/>
      <c r="S29" s="113">
        <f>+'2016-17'!D$6</f>
        <v>0</v>
      </c>
      <c r="T29" s="113"/>
    </row>
    <row r="30" spans="1:20" ht="12.75" outlineLevel="1">
      <c r="A30" t="s">
        <v>35</v>
      </c>
      <c r="B30" s="113">
        <v>27</v>
      </c>
      <c r="C30" s="113">
        <f>+'2012-13'!D$13</f>
        <v>7</v>
      </c>
      <c r="D30" s="113">
        <f>+C30-B30</f>
        <v>-20</v>
      </c>
      <c r="E30" s="113"/>
      <c r="F30" s="113">
        <v>0</v>
      </c>
      <c r="G30" s="113">
        <f>+'2013-14'!D$13</f>
        <v>0</v>
      </c>
      <c r="H30" s="113">
        <f>+G30-F30</f>
        <v>0</v>
      </c>
      <c r="I30" s="113"/>
      <c r="J30" s="113">
        <v>0</v>
      </c>
      <c r="K30" s="113">
        <f>+'2014-15'!D$13</f>
        <v>0</v>
      </c>
      <c r="L30" s="113">
        <f>+K30-J30</f>
        <v>0</v>
      </c>
      <c r="M30" s="113"/>
      <c r="N30" s="113"/>
      <c r="O30" s="113">
        <f>+'2015-16'!D$13</f>
        <v>0</v>
      </c>
      <c r="P30" s="113"/>
      <c r="Q30" s="113"/>
      <c r="R30" s="113"/>
      <c r="S30" s="113">
        <f>+'2016-17'!D$13</f>
        <v>0</v>
      </c>
      <c r="T30" s="113"/>
    </row>
    <row r="31" spans="1:20" ht="12.75" outlineLevel="1">
      <c r="A31" t="s">
        <v>191</v>
      </c>
      <c r="B31" s="113">
        <v>15</v>
      </c>
      <c r="C31" s="113">
        <f>+'2012-13'!D$19</f>
        <v>15</v>
      </c>
      <c r="D31" s="113">
        <f>+C31-B31</f>
        <v>0</v>
      </c>
      <c r="E31" s="113"/>
      <c r="F31" s="113">
        <v>0</v>
      </c>
      <c r="G31" s="113">
        <f>+'2013-14'!D$19</f>
        <v>0</v>
      </c>
      <c r="H31" s="113">
        <f>+G31-F31</f>
        <v>0</v>
      </c>
      <c r="I31" s="113"/>
      <c r="J31" s="113">
        <v>0</v>
      </c>
      <c r="K31" s="113">
        <f>+'2014-15'!D$19</f>
        <v>0</v>
      </c>
      <c r="L31" s="113">
        <f>+K31-J31</f>
        <v>0</v>
      </c>
      <c r="M31" s="113"/>
      <c r="N31" s="113"/>
      <c r="O31" s="113">
        <f>+'2015-16'!D$19</f>
        <v>0</v>
      </c>
      <c r="P31" s="113"/>
      <c r="Q31" s="113"/>
      <c r="R31" s="113"/>
      <c r="S31" s="113">
        <f>+'2016-17'!D$19</f>
        <v>0</v>
      </c>
      <c r="T31" s="113"/>
    </row>
    <row r="32" spans="1:20" s="3" customFormat="1" ht="13.5" outlineLevel="1" thickBot="1">
      <c r="A32" s="3" t="s">
        <v>24</v>
      </c>
      <c r="B32" s="114">
        <f>+SUM(B29:B31)</f>
        <v>127</v>
      </c>
      <c r="C32" s="114">
        <f>+SUM(C29:C31)</f>
        <v>117</v>
      </c>
      <c r="D32" s="114">
        <f>+SUM(D29:D31)</f>
        <v>-10</v>
      </c>
      <c r="E32" s="115"/>
      <c r="F32" s="114">
        <f>+SUM(F29:F31)</f>
        <v>0</v>
      </c>
      <c r="G32" s="114">
        <f>+SUM(G29:G31)</f>
        <v>40</v>
      </c>
      <c r="H32" s="114">
        <f>+SUM(H29:H31)</f>
        <v>40</v>
      </c>
      <c r="I32" s="116"/>
      <c r="J32" s="114">
        <f>+SUM(J29:J31)</f>
        <v>0</v>
      </c>
      <c r="K32" s="114">
        <f>+SUM(K29:K31)</f>
        <v>0</v>
      </c>
      <c r="L32" s="114">
        <f>+SUM(L29:L31)</f>
        <v>0</v>
      </c>
      <c r="M32" s="116"/>
      <c r="N32" s="114">
        <f>+SUM(N29:N31)</f>
        <v>0</v>
      </c>
      <c r="O32" s="114">
        <f>+SUM(O29:O31)</f>
        <v>0</v>
      </c>
      <c r="P32" s="114">
        <f>+SUM(P29:P31)</f>
        <v>0</v>
      </c>
      <c r="Q32" s="116"/>
      <c r="R32" s="114">
        <f>+SUM(R29:R31)</f>
        <v>0</v>
      </c>
      <c r="S32" s="114">
        <f>+SUM(S29:S31)</f>
        <v>0</v>
      </c>
      <c r="T32" s="114">
        <f>+SUM(T29:T31)</f>
        <v>0</v>
      </c>
    </row>
    <row r="33" spans="2:20" ht="12.75" outlineLevel="1"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</row>
    <row r="34" spans="1:20" ht="12.75" outlineLevel="1">
      <c r="A34" t="s">
        <v>7</v>
      </c>
      <c r="B34" s="113">
        <v>83</v>
      </c>
      <c r="C34" s="113">
        <f>+'2012-13'!D$29</f>
        <v>0</v>
      </c>
      <c r="D34" s="113">
        <f>+C34-B34</f>
        <v>-83</v>
      </c>
      <c r="E34" s="113"/>
      <c r="F34" s="113">
        <v>0</v>
      </c>
      <c r="G34" s="113">
        <f>+'2013-14'!D$29</f>
        <v>0</v>
      </c>
      <c r="H34" s="113">
        <f>+G34-F34</f>
        <v>0</v>
      </c>
      <c r="I34" s="113"/>
      <c r="J34" s="113">
        <v>0</v>
      </c>
      <c r="K34" s="113">
        <f>+'2014-15'!D$29</f>
        <v>0</v>
      </c>
      <c r="L34" s="113">
        <f>+K34-J34</f>
        <v>0</v>
      </c>
      <c r="M34" s="113"/>
      <c r="N34" s="113"/>
      <c r="O34" s="113">
        <f>+'2015-16'!D$29</f>
        <v>0</v>
      </c>
      <c r="P34" s="113"/>
      <c r="Q34" s="113"/>
      <c r="R34" s="113"/>
      <c r="S34" s="113">
        <f>+'2016-17'!D$29</f>
        <v>0</v>
      </c>
      <c r="T34" s="113"/>
    </row>
    <row r="35" spans="1:20" ht="12.75" outlineLevel="1">
      <c r="A35" t="s">
        <v>192</v>
      </c>
      <c r="B35" s="113">
        <v>90</v>
      </c>
      <c r="C35" s="113">
        <f>+'2012-13'!D$37</f>
        <v>107.4</v>
      </c>
      <c r="D35" s="113">
        <f>+C35-B35</f>
        <v>17.400000000000006</v>
      </c>
      <c r="E35" s="113"/>
      <c r="F35" s="113">
        <v>-13</v>
      </c>
      <c r="G35" s="113">
        <f>+'2013-14'!D$37</f>
        <v>60</v>
      </c>
      <c r="H35" s="113">
        <f>+G35-F35</f>
        <v>73</v>
      </c>
      <c r="I35" s="113"/>
      <c r="J35" s="113">
        <v>0</v>
      </c>
      <c r="K35" s="113">
        <f>+'2014-15'!D$37</f>
        <v>0</v>
      </c>
      <c r="L35" s="113">
        <f>+K35-J35</f>
        <v>0</v>
      </c>
      <c r="M35" s="113"/>
      <c r="N35" s="113"/>
      <c r="O35" s="113">
        <f>+'2015-16'!D$37</f>
        <v>0</v>
      </c>
      <c r="P35" s="113"/>
      <c r="Q35" s="113"/>
      <c r="R35" s="113"/>
      <c r="S35" s="113">
        <f>+'2016-17'!D$37</f>
        <v>0</v>
      </c>
      <c r="T35" s="113"/>
    </row>
    <row r="36" spans="1:20" ht="12.75" outlineLevel="1">
      <c r="A36" t="s">
        <v>148</v>
      </c>
      <c r="B36" s="113">
        <v>10</v>
      </c>
      <c r="C36" s="113">
        <f>+'2012-13'!D$42</f>
        <v>10</v>
      </c>
      <c r="D36" s="113">
        <f>+C36-B36</f>
        <v>0</v>
      </c>
      <c r="E36" s="113"/>
      <c r="F36" s="113">
        <v>10</v>
      </c>
      <c r="G36" s="113">
        <f>+'2013-14'!D$42</f>
        <v>10</v>
      </c>
      <c r="H36" s="113">
        <f>+G36-F36</f>
        <v>0</v>
      </c>
      <c r="I36" s="113"/>
      <c r="J36" s="113">
        <v>10</v>
      </c>
      <c r="K36" s="113">
        <f>+'2014-15'!D$42</f>
        <v>10</v>
      </c>
      <c r="L36" s="113">
        <f>+K36-J36</f>
        <v>0</v>
      </c>
      <c r="M36" s="113"/>
      <c r="N36" s="113"/>
      <c r="O36" s="113">
        <f>+'2015-16'!D$42</f>
        <v>0</v>
      </c>
      <c r="P36" s="113"/>
      <c r="Q36" s="113"/>
      <c r="R36" s="113"/>
      <c r="S36" s="113">
        <f>+'2016-17'!D$42</f>
        <v>0</v>
      </c>
      <c r="T36" s="113"/>
    </row>
    <row r="37" spans="1:20" s="3" customFormat="1" ht="13.5" outlineLevel="1" thickBot="1">
      <c r="A37" s="3" t="s">
        <v>36</v>
      </c>
      <c r="B37" s="114">
        <f>+SUM(B34:B36)</f>
        <v>183</v>
      </c>
      <c r="C37" s="114">
        <f>+SUM(C34:C36)</f>
        <v>117.4</v>
      </c>
      <c r="D37" s="114">
        <f>+SUM(D34:D36)</f>
        <v>-65.6</v>
      </c>
      <c r="E37" s="115"/>
      <c r="F37" s="114">
        <f>+SUM(F34:F36)</f>
        <v>-3</v>
      </c>
      <c r="G37" s="114">
        <f>+SUM(G34:G36)</f>
        <v>70</v>
      </c>
      <c r="H37" s="114">
        <f>+SUM(H34:H36)</f>
        <v>73</v>
      </c>
      <c r="I37" s="116"/>
      <c r="J37" s="114">
        <f>+SUM(J34:J36)</f>
        <v>10</v>
      </c>
      <c r="K37" s="114">
        <f>+SUM(K34:K36)</f>
        <v>10</v>
      </c>
      <c r="L37" s="114">
        <f>+SUM(L34:L36)</f>
        <v>0</v>
      </c>
      <c r="M37" s="116"/>
      <c r="N37" s="114">
        <f>+SUM(N34:N36)</f>
        <v>0</v>
      </c>
      <c r="O37" s="114">
        <f>+SUM(O34:O36)</f>
        <v>0</v>
      </c>
      <c r="P37" s="114">
        <f>+SUM(P34:P36)</f>
        <v>0</v>
      </c>
      <c r="Q37" s="116"/>
      <c r="R37" s="114">
        <f>+SUM(R34:R36)</f>
        <v>0</v>
      </c>
      <c r="S37" s="114">
        <f>+SUM(S34:S36)</f>
        <v>0</v>
      </c>
      <c r="T37" s="114">
        <f>+SUM(T34:T36)</f>
        <v>0</v>
      </c>
    </row>
    <row r="38" spans="2:20" ht="12.75" outlineLevel="1"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</row>
    <row r="39" spans="1:20" ht="12.75" outlineLevel="1">
      <c r="A39" t="s">
        <v>30</v>
      </c>
      <c r="B39" s="113">
        <v>72</v>
      </c>
      <c r="C39" s="113">
        <f>+'2012-13'!D$51</f>
        <v>50</v>
      </c>
      <c r="D39" s="113">
        <f>+C39-B39</f>
        <v>-22</v>
      </c>
      <c r="E39" s="113"/>
      <c r="F39" s="113">
        <v>-72</v>
      </c>
      <c r="G39" s="113">
        <f>+'2013-14'!D$51</f>
        <v>0</v>
      </c>
      <c r="H39" s="113">
        <f>+G39-F39</f>
        <v>72</v>
      </c>
      <c r="I39" s="113"/>
      <c r="J39" s="113">
        <v>0</v>
      </c>
      <c r="K39" s="113">
        <f>+'2014-15'!D$51</f>
        <v>0</v>
      </c>
      <c r="L39" s="113">
        <f>+K39-J39</f>
        <v>0</v>
      </c>
      <c r="M39" s="113"/>
      <c r="N39" s="113"/>
      <c r="O39" s="113">
        <f>+'2015-16'!D$51</f>
        <v>0</v>
      </c>
      <c r="P39" s="113"/>
      <c r="Q39" s="113"/>
      <c r="R39" s="113"/>
      <c r="S39" s="113">
        <f>+'2016-17'!D$51</f>
        <v>0</v>
      </c>
      <c r="T39" s="113"/>
    </row>
    <row r="40" spans="1:20" ht="12.75" outlineLevel="1">
      <c r="A40" t="s">
        <v>138</v>
      </c>
      <c r="B40" s="113">
        <v>-80</v>
      </c>
      <c r="C40" s="113">
        <f>+'2012-13'!D$58</f>
        <v>590</v>
      </c>
      <c r="D40" s="113">
        <f>+C40-B40</f>
        <v>670</v>
      </c>
      <c r="E40" s="113"/>
      <c r="F40" s="113">
        <v>-140</v>
      </c>
      <c r="G40" s="113">
        <f>+'2013-14'!D$58</f>
        <v>-14</v>
      </c>
      <c r="H40" s="113">
        <f>+G40-F40</f>
        <v>126</v>
      </c>
      <c r="I40" s="113"/>
      <c r="J40" s="113">
        <v>0</v>
      </c>
      <c r="K40" s="113">
        <f>+'2014-15'!D$58</f>
        <v>-220</v>
      </c>
      <c r="L40" s="113">
        <f>+K40-J40</f>
        <v>-220</v>
      </c>
      <c r="M40" s="113"/>
      <c r="N40" s="113"/>
      <c r="O40" s="113">
        <f>+'2015-16'!D$58</f>
        <v>0</v>
      </c>
      <c r="P40" s="113"/>
      <c r="Q40" s="113"/>
      <c r="R40" s="113"/>
      <c r="S40" s="113">
        <f>+'2016-17'!D$58</f>
        <v>0</v>
      </c>
      <c r="T40" s="113"/>
    </row>
    <row r="41" spans="1:20" ht="12.75" outlineLevel="1">
      <c r="A41" t="s">
        <v>21</v>
      </c>
      <c r="B41" s="113">
        <v>954</v>
      </c>
      <c r="C41" s="113">
        <f>+'2012-13'!D$70</f>
        <v>0</v>
      </c>
      <c r="D41" s="113">
        <f>+C41-B41</f>
        <v>-954</v>
      </c>
      <c r="E41" s="113"/>
      <c r="F41" s="113">
        <v>-70</v>
      </c>
      <c r="G41" s="113">
        <f>+'2013-14'!D$70</f>
        <v>-15</v>
      </c>
      <c r="H41" s="113">
        <f>+G41-F41</f>
        <v>55</v>
      </c>
      <c r="I41" s="113"/>
      <c r="J41" s="113">
        <v>0</v>
      </c>
      <c r="K41" s="113">
        <f>+'2014-15'!D$70</f>
        <v>0</v>
      </c>
      <c r="L41" s="113">
        <f>+K41-J41</f>
        <v>0</v>
      </c>
      <c r="M41" s="113"/>
      <c r="N41" s="113"/>
      <c r="O41" s="113">
        <f>+'2015-16'!D$70</f>
        <v>-25</v>
      </c>
      <c r="P41" s="113"/>
      <c r="Q41" s="113"/>
      <c r="R41" s="113"/>
      <c r="S41" s="113">
        <f>+'2016-17'!D$70</f>
        <v>0</v>
      </c>
      <c r="T41" s="113"/>
    </row>
    <row r="42" spans="1:20" ht="12.75" outlineLevel="1">
      <c r="A42" t="s">
        <v>38</v>
      </c>
      <c r="B42" s="113">
        <v>-354</v>
      </c>
      <c r="C42" s="113">
        <f>+'2012-13'!D$76</f>
        <v>-344</v>
      </c>
      <c r="D42" s="113">
        <f>+C42-B42</f>
        <v>10</v>
      </c>
      <c r="E42" s="113"/>
      <c r="F42" s="113">
        <v>0</v>
      </c>
      <c r="G42" s="113">
        <f>+'2013-14'!D$76</f>
        <v>0</v>
      </c>
      <c r="H42" s="113">
        <f>+G42-F42</f>
        <v>0</v>
      </c>
      <c r="I42" s="113"/>
      <c r="J42" s="113">
        <v>0</v>
      </c>
      <c r="K42" s="113">
        <f>+'2014-15'!D$76</f>
        <v>0</v>
      </c>
      <c r="L42" s="113">
        <f>+K42-J42</f>
        <v>0</v>
      </c>
      <c r="M42" s="113"/>
      <c r="N42" s="113"/>
      <c r="O42" s="113">
        <f>+'2015-16'!D$76</f>
        <v>0</v>
      </c>
      <c r="P42" s="113"/>
      <c r="Q42" s="113"/>
      <c r="R42" s="113"/>
      <c r="S42" s="113">
        <f>+'2016-17'!D$76</f>
        <v>0</v>
      </c>
      <c r="T42" s="113"/>
    </row>
    <row r="43" spans="1:20" s="3" customFormat="1" ht="13.5" outlineLevel="1" thickBot="1">
      <c r="A43" s="3" t="s">
        <v>29</v>
      </c>
      <c r="B43" s="114">
        <f>+SUM(B39:B42)</f>
        <v>592</v>
      </c>
      <c r="C43" s="114">
        <f>+SUM(C39:C42)</f>
        <v>296</v>
      </c>
      <c r="D43" s="114">
        <f>+SUM(D39:D42)</f>
        <v>-296</v>
      </c>
      <c r="E43" s="115"/>
      <c r="F43" s="114">
        <f>+SUM(F39:F42)</f>
        <v>-282</v>
      </c>
      <c r="G43" s="114">
        <f>+SUM(G39:G42)</f>
        <v>-29</v>
      </c>
      <c r="H43" s="114">
        <f>+SUM(H39:H42)</f>
        <v>253</v>
      </c>
      <c r="I43" s="116"/>
      <c r="J43" s="114">
        <f>+SUM(J39:J42)</f>
        <v>0</v>
      </c>
      <c r="K43" s="114">
        <f>+SUM(K39:K42)</f>
        <v>-220</v>
      </c>
      <c r="L43" s="114">
        <f>+SUM(L39:L42)</f>
        <v>-220</v>
      </c>
      <c r="M43" s="116"/>
      <c r="N43" s="114">
        <f>+SUM(N39:N42)</f>
        <v>0</v>
      </c>
      <c r="O43" s="114">
        <f>+SUM(O39:O42)</f>
        <v>-25</v>
      </c>
      <c r="P43" s="114">
        <f>+SUM(P39:P42)</f>
        <v>0</v>
      </c>
      <c r="Q43" s="116"/>
      <c r="R43" s="114">
        <f>+SUM(R39:R42)</f>
        <v>0</v>
      </c>
      <c r="S43" s="114">
        <f>+SUM(S39:S42)</f>
        <v>0</v>
      </c>
      <c r="T43" s="114">
        <f>+SUM(T39:T42)</f>
        <v>0</v>
      </c>
    </row>
    <row r="44" spans="2:20" ht="12.75" outlineLevel="1"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</row>
    <row r="45" spans="1:20" ht="12.75" outlineLevel="1">
      <c r="A45" t="s">
        <v>194</v>
      </c>
      <c r="B45" s="113">
        <v>-50</v>
      </c>
      <c r="C45" s="113">
        <f>+'2012-13'!D$89</f>
        <v>52</v>
      </c>
      <c r="D45" s="113">
        <f>+C45-B45</f>
        <v>102</v>
      </c>
      <c r="E45" s="113"/>
      <c r="F45" s="113">
        <v>27.53</v>
      </c>
      <c r="G45" s="113">
        <f>+'2013-14'!D$89</f>
        <v>-77.8</v>
      </c>
      <c r="H45" s="113">
        <f>+G45-F45</f>
        <v>-105.33</v>
      </c>
      <c r="I45" s="113"/>
      <c r="J45" s="113">
        <v>0</v>
      </c>
      <c r="K45" s="113">
        <f>+'2014-15'!D$89</f>
        <v>0</v>
      </c>
      <c r="L45" s="113">
        <f>+K45-J45</f>
        <v>0</v>
      </c>
      <c r="M45" s="113"/>
      <c r="N45" s="113"/>
      <c r="O45" s="113">
        <f>+'2015-16'!D$89</f>
        <v>0</v>
      </c>
      <c r="P45" s="113"/>
      <c r="Q45" s="113"/>
      <c r="R45" s="113"/>
      <c r="S45" s="113">
        <f>+'2016-17'!D$89</f>
        <v>0</v>
      </c>
      <c r="T45" s="113"/>
    </row>
    <row r="46" spans="1:20" ht="12.75" outlineLevel="1">
      <c r="A46" t="s">
        <v>14</v>
      </c>
      <c r="B46" s="113">
        <v>0</v>
      </c>
      <c r="C46" s="113">
        <f>+'2012-13'!D$95</f>
        <v>0</v>
      </c>
      <c r="D46" s="113">
        <f>+C46-B46</f>
        <v>0</v>
      </c>
      <c r="E46" s="113"/>
      <c r="F46" s="113">
        <v>0</v>
      </c>
      <c r="G46" s="113">
        <f>+'2013-14'!D$95</f>
        <v>0</v>
      </c>
      <c r="H46" s="113">
        <f>+G46-F46</f>
        <v>0</v>
      </c>
      <c r="I46" s="113"/>
      <c r="J46" s="113">
        <v>0</v>
      </c>
      <c r="K46" s="113">
        <f>+'2014-15'!D$95</f>
        <v>0</v>
      </c>
      <c r="L46" s="113">
        <f>+K46-J46</f>
        <v>0</v>
      </c>
      <c r="M46" s="113"/>
      <c r="N46" s="113"/>
      <c r="O46" s="113">
        <f>+'2015-16'!D$95</f>
        <v>0</v>
      </c>
      <c r="P46" s="113"/>
      <c r="Q46" s="113"/>
      <c r="R46" s="113"/>
      <c r="S46" s="113">
        <f>+'2016-17'!D$95</f>
        <v>0</v>
      </c>
      <c r="T46" s="113"/>
    </row>
    <row r="47" spans="1:20" ht="12.75" outlineLevel="1">
      <c r="A47" t="s">
        <v>193</v>
      </c>
      <c r="B47" s="113">
        <v>0</v>
      </c>
      <c r="C47" s="113">
        <f>+'2012-13'!D$103</f>
        <v>0</v>
      </c>
      <c r="D47" s="113">
        <f>+C47-B47</f>
        <v>0</v>
      </c>
      <c r="E47" s="113"/>
      <c r="F47" s="113">
        <v>0</v>
      </c>
      <c r="G47" s="113">
        <f>+'2013-14'!D$103</f>
        <v>0</v>
      </c>
      <c r="H47" s="113">
        <f>+G47-F47</f>
        <v>0</v>
      </c>
      <c r="I47" s="113"/>
      <c r="J47" s="113">
        <v>0</v>
      </c>
      <c r="K47" s="113">
        <f>+'2014-15'!D$103</f>
        <v>0</v>
      </c>
      <c r="L47" s="113">
        <f>+K47-J47</f>
        <v>0</v>
      </c>
      <c r="M47" s="113"/>
      <c r="N47" s="113"/>
      <c r="O47" s="113">
        <f>+'2015-16'!D$103</f>
        <v>0</v>
      </c>
      <c r="P47" s="113"/>
      <c r="Q47" s="113"/>
      <c r="R47" s="113"/>
      <c r="S47" s="113">
        <f>+'2016-17'!D$103</f>
        <v>0</v>
      </c>
      <c r="T47" s="113"/>
    </row>
    <row r="48" spans="1:20" s="3" customFormat="1" ht="13.5" outlineLevel="1" thickBot="1">
      <c r="A48" s="3" t="s">
        <v>39</v>
      </c>
      <c r="B48" s="114">
        <f>+SUM(B45:B47)</f>
        <v>-50</v>
      </c>
      <c r="C48" s="114">
        <f>+SUM(C45:C47)</f>
        <v>52</v>
      </c>
      <c r="D48" s="114">
        <f>+SUM(D45:D47)</f>
        <v>102</v>
      </c>
      <c r="E48" s="115"/>
      <c r="F48" s="114">
        <f>+SUM(F45:F47)</f>
        <v>27.53</v>
      </c>
      <c r="G48" s="114">
        <f>+SUM(G45:G47)</f>
        <v>-77.8</v>
      </c>
      <c r="H48" s="114">
        <f>+SUM(H45:H47)</f>
        <v>-105.33</v>
      </c>
      <c r="I48" s="116"/>
      <c r="J48" s="114">
        <f>+SUM(J45:J47)</f>
        <v>0</v>
      </c>
      <c r="K48" s="114">
        <f>+SUM(K45:K47)</f>
        <v>0</v>
      </c>
      <c r="L48" s="114">
        <f>+SUM(L45:L47)</f>
        <v>0</v>
      </c>
      <c r="M48" s="116"/>
      <c r="N48" s="114">
        <f>+SUM(N45:N47)</f>
        <v>0</v>
      </c>
      <c r="O48" s="114">
        <f>+SUM(O45:O47)</f>
        <v>0</v>
      </c>
      <c r="P48" s="114">
        <f>+SUM(P45:P47)</f>
        <v>0</v>
      </c>
      <c r="Q48" s="116"/>
      <c r="R48" s="114">
        <f>+SUM(R45:R47)</f>
        <v>0</v>
      </c>
      <c r="S48" s="114">
        <f>+SUM(S45:S47)</f>
        <v>0</v>
      </c>
      <c r="T48" s="114">
        <f>+SUM(T45:T47)</f>
        <v>0</v>
      </c>
    </row>
    <row r="49" spans="2:20" ht="12.75" outlineLevel="1"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</row>
    <row r="50" spans="1:20" s="112" customFormat="1" ht="17.25" thickBot="1">
      <c r="A50" s="123" t="s">
        <v>198</v>
      </c>
      <c r="B50" s="124">
        <f>+B48+B43+B37+B32</f>
        <v>852</v>
      </c>
      <c r="C50" s="124">
        <f>+C48+C43+C37+C32</f>
        <v>582.4</v>
      </c>
      <c r="D50" s="124">
        <f>+D48+D43+D37+D32</f>
        <v>-269.6</v>
      </c>
      <c r="E50" s="117"/>
      <c r="F50" s="124">
        <f>+F48+F43+F37+F32</f>
        <v>-257.47</v>
      </c>
      <c r="G50" s="124">
        <f>+G48+G43+G37+G32</f>
        <v>3.200000000000003</v>
      </c>
      <c r="H50" s="124">
        <f>+H48+H43+H37+H32</f>
        <v>260.67</v>
      </c>
      <c r="I50" s="118"/>
      <c r="J50" s="124">
        <f>+J48+J43+J37+J32</f>
        <v>10</v>
      </c>
      <c r="K50" s="124">
        <f>+K48+K43+K37+K32</f>
        <v>-210</v>
      </c>
      <c r="L50" s="124">
        <f>+L48+L43+L37+L32</f>
        <v>-220</v>
      </c>
      <c r="M50" s="118"/>
      <c r="N50" s="124">
        <f>+N48+N43+N37+N32</f>
        <v>0</v>
      </c>
      <c r="O50" s="124">
        <f>+O48+O43+O37+O32</f>
        <v>-25</v>
      </c>
      <c r="P50" s="124">
        <f>+P48+P43+P37+P32</f>
        <v>0</v>
      </c>
      <c r="Q50" s="118"/>
      <c r="R50" s="124">
        <f>+R48+R43+R37+R32</f>
        <v>0</v>
      </c>
      <c r="S50" s="124">
        <f>+S48+S43+S37+S32</f>
        <v>0</v>
      </c>
      <c r="T50" s="124">
        <f>+T48+T43+T37+T32</f>
        <v>0</v>
      </c>
    </row>
    <row r="51" spans="2:20" ht="12.75"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</row>
    <row r="52" spans="1:20" ht="15" outlineLevel="1">
      <c r="A52" s="109" t="s">
        <v>2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</row>
    <row r="53" spans="1:20" ht="12.75" outlineLevel="1">
      <c r="A53" t="s">
        <v>25</v>
      </c>
      <c r="B53" s="113">
        <v>-5</v>
      </c>
      <c r="C53" s="113">
        <f>+'2012-13'!E$6</f>
        <v>-5</v>
      </c>
      <c r="D53" s="113">
        <f>+C53-B53</f>
        <v>0</v>
      </c>
      <c r="E53" s="113"/>
      <c r="F53" s="113">
        <v>-5</v>
      </c>
      <c r="G53" s="113">
        <f>+'2013-14'!E$6</f>
        <v>-5</v>
      </c>
      <c r="H53" s="113">
        <f>+G53-F53</f>
        <v>0</v>
      </c>
      <c r="I53" s="113"/>
      <c r="J53" s="113">
        <v>-20</v>
      </c>
      <c r="K53" s="113">
        <f>+'2014-15'!E$6</f>
        <v>-20</v>
      </c>
      <c r="L53" s="113">
        <f>+K53-J53</f>
        <v>0</v>
      </c>
      <c r="M53" s="113"/>
      <c r="N53" s="113"/>
      <c r="O53" s="113">
        <f>+'2015-16'!E$6</f>
        <v>0</v>
      </c>
      <c r="P53" s="113"/>
      <c r="Q53" s="113"/>
      <c r="R53" s="113"/>
      <c r="S53" s="113">
        <f>+'2016-17'!E$6</f>
        <v>0</v>
      </c>
      <c r="T53" s="113"/>
    </row>
    <row r="54" spans="1:20" ht="12.75" outlineLevel="1">
      <c r="A54" t="s">
        <v>35</v>
      </c>
      <c r="B54" s="113">
        <v>-415.1</v>
      </c>
      <c r="C54" s="113">
        <f>+'2012-13'!E$13</f>
        <v>-420.1</v>
      </c>
      <c r="D54" s="113">
        <f>+C54-B54</f>
        <v>-5</v>
      </c>
      <c r="E54" s="113"/>
      <c r="F54" s="113">
        <v>-93</v>
      </c>
      <c r="G54" s="113">
        <f>+'2013-14'!E$13</f>
        <v>-108</v>
      </c>
      <c r="H54" s="113">
        <f>+G54-F54</f>
        <v>-15</v>
      </c>
      <c r="I54" s="113"/>
      <c r="J54" s="113">
        <v>-93</v>
      </c>
      <c r="K54" s="113">
        <f>+'2014-15'!E$13</f>
        <v>-95</v>
      </c>
      <c r="L54" s="113">
        <f>+K54-J54</f>
        <v>-2</v>
      </c>
      <c r="M54" s="113"/>
      <c r="N54" s="113"/>
      <c r="O54" s="113">
        <f>+'2015-16'!E$13</f>
        <v>-103</v>
      </c>
      <c r="P54" s="113"/>
      <c r="Q54" s="113"/>
      <c r="R54" s="113"/>
      <c r="S54" s="113">
        <f>+'2016-17'!E$13</f>
        <v>0</v>
      </c>
      <c r="T54" s="113"/>
    </row>
    <row r="55" spans="1:20" ht="12.75" outlineLevel="1">
      <c r="A55" t="s">
        <v>191</v>
      </c>
      <c r="B55" s="113">
        <v>-184</v>
      </c>
      <c r="C55" s="113">
        <f>+'2012-13'!E$19</f>
        <v>-192</v>
      </c>
      <c r="D55" s="113">
        <f>+C55-B55</f>
        <v>-8</v>
      </c>
      <c r="E55" s="113"/>
      <c r="F55" s="113">
        <v>-133</v>
      </c>
      <c r="G55" s="113">
        <f>+'2013-14'!E$19</f>
        <v>-133</v>
      </c>
      <c r="H55" s="113">
        <f>+G55-F55</f>
        <v>0</v>
      </c>
      <c r="I55" s="113"/>
      <c r="J55" s="113">
        <v>-66</v>
      </c>
      <c r="K55" s="113">
        <f>+'2014-15'!E$19</f>
        <v>-66</v>
      </c>
      <c r="L55" s="113">
        <f>+K55-J55</f>
        <v>0</v>
      </c>
      <c r="M55" s="113"/>
      <c r="N55" s="113"/>
      <c r="O55" s="113">
        <f>+'2015-16'!E$19</f>
        <v>0</v>
      </c>
      <c r="P55" s="113"/>
      <c r="Q55" s="113"/>
      <c r="R55" s="113"/>
      <c r="S55" s="113">
        <f>+'2016-17'!E$19</f>
        <v>-20.299</v>
      </c>
      <c r="T55" s="113"/>
    </row>
    <row r="56" spans="1:20" s="3" customFormat="1" ht="13.5" outlineLevel="1" thickBot="1">
      <c r="A56" s="3" t="s">
        <v>24</v>
      </c>
      <c r="B56" s="114">
        <f>+SUM(B53:B55)</f>
        <v>-604.1</v>
      </c>
      <c r="C56" s="114">
        <f>+SUM(C53:C55)</f>
        <v>-617.1</v>
      </c>
      <c r="D56" s="114">
        <f>+SUM(D53:D55)</f>
        <v>-13</v>
      </c>
      <c r="E56" s="115"/>
      <c r="F56" s="114">
        <f>+SUM(F53:F55)</f>
        <v>-231</v>
      </c>
      <c r="G56" s="114">
        <f>+SUM(G53:G55)</f>
        <v>-246</v>
      </c>
      <c r="H56" s="114">
        <f>+SUM(H53:H55)</f>
        <v>-15</v>
      </c>
      <c r="I56" s="116"/>
      <c r="J56" s="114">
        <f>+SUM(J53:J55)</f>
        <v>-179</v>
      </c>
      <c r="K56" s="114">
        <f>+SUM(K53:K55)</f>
        <v>-181</v>
      </c>
      <c r="L56" s="114">
        <f>+SUM(L53:L55)</f>
        <v>-2</v>
      </c>
      <c r="M56" s="116"/>
      <c r="N56" s="114">
        <f>+SUM(N53:N55)</f>
        <v>0</v>
      </c>
      <c r="O56" s="114">
        <f>+SUM(O53:O55)</f>
        <v>-103</v>
      </c>
      <c r="P56" s="114">
        <f>+SUM(P53:P55)</f>
        <v>0</v>
      </c>
      <c r="Q56" s="116"/>
      <c r="R56" s="114">
        <f>+SUM(R53:R55)</f>
        <v>0</v>
      </c>
      <c r="S56" s="114">
        <f>+SUM(S53:S55)</f>
        <v>-20.299</v>
      </c>
      <c r="T56" s="114">
        <f>+SUM(T53:T55)</f>
        <v>0</v>
      </c>
    </row>
    <row r="57" spans="2:20" ht="12.75" outlineLevel="1"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</row>
    <row r="58" spans="1:20" ht="12.75" outlineLevel="1">
      <c r="A58" t="s">
        <v>7</v>
      </c>
      <c r="B58" s="113">
        <v>-60.7</v>
      </c>
      <c r="C58" s="113">
        <f>+'2012-13'!E$29</f>
        <v>-225.2</v>
      </c>
      <c r="D58" s="113">
        <f>+C58-B58</f>
        <v>-164.5</v>
      </c>
      <c r="E58" s="113"/>
      <c r="F58" s="113">
        <v>-83.6</v>
      </c>
      <c r="G58" s="113">
        <f>+'2013-14'!E$29</f>
        <v>-111</v>
      </c>
      <c r="H58" s="113">
        <f>+G58-F58</f>
        <v>-27.400000000000006</v>
      </c>
      <c r="I58" s="113"/>
      <c r="J58" s="113">
        <v>-165</v>
      </c>
      <c r="K58" s="113">
        <f>+'2014-15'!E$29</f>
        <v>-34</v>
      </c>
      <c r="L58" s="113">
        <f>+K58-J58</f>
        <v>131</v>
      </c>
      <c r="M58" s="113"/>
      <c r="N58" s="113"/>
      <c r="O58" s="113">
        <f>+'2015-16'!E$29</f>
        <v>-40</v>
      </c>
      <c r="P58" s="113"/>
      <c r="Q58" s="113"/>
      <c r="R58" s="113"/>
      <c r="S58" s="113">
        <f>+'2016-17'!E$29</f>
        <v>-40</v>
      </c>
      <c r="T58" s="113"/>
    </row>
    <row r="59" spans="1:20" ht="12.75" outlineLevel="1">
      <c r="A59" t="s">
        <v>192</v>
      </c>
      <c r="B59" s="113">
        <v>-74</v>
      </c>
      <c r="C59" s="113">
        <f>+'2012-13'!E$37</f>
        <v>-34.253</v>
      </c>
      <c r="D59" s="113">
        <f>+C59-B59</f>
        <v>39.747</v>
      </c>
      <c r="E59" s="113"/>
      <c r="F59" s="113">
        <v>-18</v>
      </c>
      <c r="G59" s="113">
        <f>+'2013-14'!E$37</f>
        <v>-18</v>
      </c>
      <c r="H59" s="113">
        <f>+G59-F59</f>
        <v>0</v>
      </c>
      <c r="I59" s="113"/>
      <c r="J59" s="113">
        <v>-15</v>
      </c>
      <c r="K59" s="113">
        <f>+'2014-15'!E$37</f>
        <v>-15</v>
      </c>
      <c r="L59" s="113">
        <f>+K59-J59</f>
        <v>0</v>
      </c>
      <c r="M59" s="113"/>
      <c r="N59" s="113"/>
      <c r="O59" s="113">
        <f>+'2015-16'!E$37</f>
        <v>-200</v>
      </c>
      <c r="P59" s="113"/>
      <c r="Q59" s="113"/>
      <c r="R59" s="113"/>
      <c r="S59" s="113">
        <f>+'2016-17'!E$37</f>
        <v>0</v>
      </c>
      <c r="T59" s="113"/>
    </row>
    <row r="60" spans="1:20" ht="12.75" outlineLevel="1">
      <c r="A60" t="s">
        <v>148</v>
      </c>
      <c r="B60" s="113">
        <v>-96</v>
      </c>
      <c r="C60" s="113">
        <f>+'2012-13'!E$42</f>
        <v>-96</v>
      </c>
      <c r="D60" s="113">
        <f>+C60-B60</f>
        <v>0</v>
      </c>
      <c r="E60" s="113"/>
      <c r="F60" s="113">
        <v>-46</v>
      </c>
      <c r="G60" s="113">
        <f>+'2013-14'!E$42</f>
        <v>-46</v>
      </c>
      <c r="H60" s="113">
        <f>+G60-F60</f>
        <v>0</v>
      </c>
      <c r="I60" s="113"/>
      <c r="J60" s="113">
        <v>-36</v>
      </c>
      <c r="K60" s="113">
        <f>+'2014-15'!E$42</f>
        <v>-36</v>
      </c>
      <c r="L60" s="113">
        <f>+K60-J60</f>
        <v>0</v>
      </c>
      <c r="M60" s="113"/>
      <c r="N60" s="113"/>
      <c r="O60" s="113">
        <f>+'2015-16'!E$42</f>
        <v>-20</v>
      </c>
      <c r="P60" s="113"/>
      <c r="Q60" s="113"/>
      <c r="R60" s="113"/>
      <c r="S60" s="113">
        <f>+'2016-17'!E$42</f>
        <v>-10</v>
      </c>
      <c r="T60" s="113"/>
    </row>
    <row r="61" spans="1:20" s="3" customFormat="1" ht="13.5" outlineLevel="1" thickBot="1">
      <c r="A61" s="3" t="s">
        <v>36</v>
      </c>
      <c r="B61" s="114">
        <f>+SUM(B58:B60)</f>
        <v>-230.7</v>
      </c>
      <c r="C61" s="114">
        <f>+SUM(C58:C60)</f>
        <v>-355.453</v>
      </c>
      <c r="D61" s="114">
        <f>+SUM(D58:D60)</f>
        <v>-124.753</v>
      </c>
      <c r="E61" s="115"/>
      <c r="F61" s="114">
        <f>+SUM(F58:F60)</f>
        <v>-147.6</v>
      </c>
      <c r="G61" s="114">
        <f>+SUM(G58:G60)</f>
        <v>-175</v>
      </c>
      <c r="H61" s="114">
        <f>+SUM(H58:H60)</f>
        <v>-27.400000000000006</v>
      </c>
      <c r="I61" s="116"/>
      <c r="J61" s="114">
        <f>+SUM(J58:J60)</f>
        <v>-216</v>
      </c>
      <c r="K61" s="114">
        <f>+SUM(K58:K60)</f>
        <v>-85</v>
      </c>
      <c r="L61" s="114">
        <f>+SUM(L58:L60)</f>
        <v>131</v>
      </c>
      <c r="M61" s="116"/>
      <c r="N61" s="114">
        <f>+SUM(N58:N60)</f>
        <v>0</v>
      </c>
      <c r="O61" s="114">
        <f>+SUM(O58:O60)</f>
        <v>-260</v>
      </c>
      <c r="P61" s="114">
        <f>+SUM(P58:P60)</f>
        <v>0</v>
      </c>
      <c r="Q61" s="116"/>
      <c r="R61" s="114">
        <f>+SUM(R58:R60)</f>
        <v>0</v>
      </c>
      <c r="S61" s="114">
        <f>+SUM(S58:S60)</f>
        <v>-50</v>
      </c>
      <c r="T61" s="114">
        <f>+SUM(T58:T60)</f>
        <v>0</v>
      </c>
    </row>
    <row r="62" spans="2:20" ht="12.75" outlineLevel="1"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</row>
    <row r="63" spans="1:20" ht="12.75" outlineLevel="1">
      <c r="A63" t="s">
        <v>30</v>
      </c>
      <c r="B63" s="113">
        <v>-12</v>
      </c>
      <c r="C63" s="113">
        <f>+'2012-13'!E$51</f>
        <v>-12</v>
      </c>
      <c r="D63" s="113">
        <f>+C63-B63</f>
        <v>0</v>
      </c>
      <c r="E63" s="113"/>
      <c r="F63" s="113">
        <v>0</v>
      </c>
      <c r="G63" s="113">
        <f>+'2013-14'!E$51</f>
        <v>0</v>
      </c>
      <c r="H63" s="113">
        <f>+G63-F63</f>
        <v>0</v>
      </c>
      <c r="I63" s="113"/>
      <c r="J63" s="113">
        <v>0</v>
      </c>
      <c r="K63" s="113">
        <f>+'2014-15'!E$51</f>
        <v>0</v>
      </c>
      <c r="L63" s="113">
        <f>+K63-J63</f>
        <v>0</v>
      </c>
      <c r="M63" s="113"/>
      <c r="N63" s="113"/>
      <c r="O63" s="113">
        <f>+'2015-16'!E$51</f>
        <v>0</v>
      </c>
      <c r="P63" s="113"/>
      <c r="Q63" s="113"/>
      <c r="R63" s="113"/>
      <c r="S63" s="113">
        <f>+'2016-17'!E$51</f>
        <v>-30</v>
      </c>
      <c r="T63" s="113"/>
    </row>
    <row r="64" spans="1:20" ht="12.75" outlineLevel="1">
      <c r="A64" t="s">
        <v>138</v>
      </c>
      <c r="B64" s="113">
        <v>-50</v>
      </c>
      <c r="C64" s="113">
        <f>+'2012-13'!E$58</f>
        <v>-120</v>
      </c>
      <c r="D64" s="113">
        <f>+C64-B64</f>
        <v>-70</v>
      </c>
      <c r="E64" s="113"/>
      <c r="F64" s="113">
        <v>-100</v>
      </c>
      <c r="G64" s="113">
        <f>+'2013-14'!E$58</f>
        <v>-40</v>
      </c>
      <c r="H64" s="113">
        <f>+G64-F64</f>
        <v>60</v>
      </c>
      <c r="I64" s="113"/>
      <c r="J64" s="113">
        <v>0</v>
      </c>
      <c r="K64" s="113">
        <f>+'2014-15'!E$58</f>
        <v>-340</v>
      </c>
      <c r="L64" s="113">
        <f>+K64-J64</f>
        <v>-340</v>
      </c>
      <c r="M64" s="113"/>
      <c r="N64" s="113"/>
      <c r="O64" s="113">
        <f>+'2015-16'!E$58</f>
        <v>-25</v>
      </c>
      <c r="P64" s="113"/>
      <c r="Q64" s="113"/>
      <c r="R64" s="113"/>
      <c r="S64" s="113">
        <f>+'2016-17'!E$58</f>
        <v>-25</v>
      </c>
      <c r="T64" s="113"/>
    </row>
    <row r="65" spans="1:20" ht="12.75" outlineLevel="1">
      <c r="A65" t="s">
        <v>21</v>
      </c>
      <c r="B65" s="113">
        <v>-292.69</v>
      </c>
      <c r="C65" s="113">
        <f>+'2012-13'!E$70</f>
        <v>-247.014</v>
      </c>
      <c r="D65" s="113">
        <f>+C65-B65</f>
        <v>45.67599999999999</v>
      </c>
      <c r="E65" s="113"/>
      <c r="F65" s="113">
        <v>0</v>
      </c>
      <c r="G65" s="113">
        <f>+'2013-14'!E$70</f>
        <v>-81</v>
      </c>
      <c r="H65" s="113">
        <f>+G65-F65</f>
        <v>-81</v>
      </c>
      <c r="I65" s="113"/>
      <c r="J65" s="113">
        <v>0</v>
      </c>
      <c r="K65" s="113">
        <f>+'2014-15'!E$70</f>
        <v>0</v>
      </c>
      <c r="L65" s="113">
        <f>+K65-J65</f>
        <v>0</v>
      </c>
      <c r="M65" s="113"/>
      <c r="N65" s="113"/>
      <c r="O65" s="113">
        <f>+'2015-16'!E$70</f>
        <v>-65.528</v>
      </c>
      <c r="P65" s="113"/>
      <c r="Q65" s="113"/>
      <c r="R65" s="113"/>
      <c r="S65" s="113">
        <f>+'2016-17'!E$70</f>
        <v>-65.528</v>
      </c>
      <c r="T65" s="113"/>
    </row>
    <row r="66" spans="1:20" ht="12.75" outlineLevel="1">
      <c r="A66" t="s">
        <v>38</v>
      </c>
      <c r="B66" s="113">
        <v>-300.56</v>
      </c>
      <c r="C66" s="113">
        <f>+'2012-13'!E$76</f>
        <v>-309.5577000000002</v>
      </c>
      <c r="D66" s="113">
        <f>+C66-B66</f>
        <v>-8.99770000000018</v>
      </c>
      <c r="E66" s="113"/>
      <c r="F66" s="113">
        <v>-71.37</v>
      </c>
      <c r="G66" s="113">
        <f>+'2013-14'!E$76</f>
        <v>-56.867649999999905</v>
      </c>
      <c r="H66" s="113">
        <f>+G66-F66</f>
        <v>14.5023500000001</v>
      </c>
      <c r="I66" s="113"/>
      <c r="J66" s="113">
        <v>-78.54</v>
      </c>
      <c r="K66" s="113">
        <f>+'2014-15'!E$76</f>
        <v>-78.03725</v>
      </c>
      <c r="L66" s="113">
        <f>+K66-J66</f>
        <v>0.502750000000006</v>
      </c>
      <c r="M66" s="113"/>
      <c r="N66" s="113"/>
      <c r="O66" s="113">
        <f>+'2015-16'!E$76</f>
        <v>-40</v>
      </c>
      <c r="P66" s="113"/>
      <c r="Q66" s="113"/>
      <c r="R66" s="113"/>
      <c r="S66" s="113">
        <f>+'2016-17'!E$76</f>
        <v>-29</v>
      </c>
      <c r="T66" s="113"/>
    </row>
    <row r="67" spans="1:20" s="3" customFormat="1" ht="13.5" outlineLevel="1" thickBot="1">
      <c r="A67" s="3" t="s">
        <v>29</v>
      </c>
      <c r="B67" s="114">
        <f>+SUM(B63:B66)</f>
        <v>-655.25</v>
      </c>
      <c r="C67" s="114">
        <f>+SUM(C63:C66)</f>
        <v>-688.5717000000002</v>
      </c>
      <c r="D67" s="114">
        <f>+SUM(D63:D66)</f>
        <v>-33.32170000000019</v>
      </c>
      <c r="E67" s="115"/>
      <c r="F67" s="114">
        <f>+SUM(F63:F66)</f>
        <v>-171.37</v>
      </c>
      <c r="G67" s="114">
        <f>+SUM(G63:G66)</f>
        <v>-177.8676499999999</v>
      </c>
      <c r="H67" s="114">
        <f>+SUM(H63:H66)</f>
        <v>-6.497649999999901</v>
      </c>
      <c r="I67" s="116"/>
      <c r="J67" s="114">
        <f>+SUM(J63:J66)</f>
        <v>-78.54</v>
      </c>
      <c r="K67" s="114">
        <f>+SUM(K63:K66)</f>
        <v>-418.03725</v>
      </c>
      <c r="L67" s="114">
        <f>+SUM(L63:L66)</f>
        <v>-339.49725</v>
      </c>
      <c r="M67" s="116"/>
      <c r="N67" s="114">
        <f>+SUM(N63:N66)</f>
        <v>0</v>
      </c>
      <c r="O67" s="114">
        <f>+SUM(O63:O66)</f>
        <v>-130.52800000000002</v>
      </c>
      <c r="P67" s="114">
        <f>+SUM(P63:P66)</f>
        <v>0</v>
      </c>
      <c r="Q67" s="116"/>
      <c r="R67" s="114">
        <f>+SUM(R63:R66)</f>
        <v>0</v>
      </c>
      <c r="S67" s="114">
        <f>+SUM(S63:S66)</f>
        <v>-149.52800000000002</v>
      </c>
      <c r="T67" s="114">
        <f>+SUM(T63:T66)</f>
        <v>0</v>
      </c>
    </row>
    <row r="68" spans="2:20" ht="12.75" outlineLevel="1"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</row>
    <row r="69" spans="1:20" ht="12" customHeight="1" outlineLevel="1">
      <c r="A69" t="s">
        <v>194</v>
      </c>
      <c r="B69" s="113">
        <v>-5</v>
      </c>
      <c r="C69" s="113">
        <f>+'2012-13'!E$89</f>
        <v>-6</v>
      </c>
      <c r="D69" s="113">
        <f>+C69-B69</f>
        <v>-1</v>
      </c>
      <c r="E69" s="113"/>
      <c r="F69" s="113">
        <v>-14.3</v>
      </c>
      <c r="G69" s="113">
        <f>+'2013-14'!E$89</f>
        <v>-1.5</v>
      </c>
      <c r="H69" s="113">
        <f>+G69-F69</f>
        <v>12.8</v>
      </c>
      <c r="I69" s="113"/>
      <c r="J69" s="113">
        <v>0</v>
      </c>
      <c r="K69" s="113">
        <f>+'2014-15'!E$89</f>
        <v>-1.5</v>
      </c>
      <c r="L69" s="113">
        <f>+K69-J69</f>
        <v>-1.5</v>
      </c>
      <c r="M69" s="113"/>
      <c r="N69" s="113"/>
      <c r="O69" s="113">
        <f>+'2015-16'!E$89</f>
        <v>0</v>
      </c>
      <c r="P69" s="113"/>
      <c r="Q69" s="113"/>
      <c r="R69" s="113"/>
      <c r="S69" s="113">
        <f>+'2016-17'!E$89</f>
        <v>0</v>
      </c>
      <c r="T69" s="113"/>
    </row>
    <row r="70" spans="1:20" ht="12.75" outlineLevel="1">
      <c r="A70" t="s">
        <v>14</v>
      </c>
      <c r="B70" s="113">
        <v>-40</v>
      </c>
      <c r="C70" s="113">
        <f>+'2012-13'!E$95</f>
        <v>-61</v>
      </c>
      <c r="D70" s="113">
        <f>+C70-B70</f>
        <v>-21</v>
      </c>
      <c r="E70" s="113"/>
      <c r="F70" s="113">
        <v>0</v>
      </c>
      <c r="G70" s="113">
        <f>+'2013-14'!E$95</f>
        <v>-6</v>
      </c>
      <c r="H70" s="113">
        <f>+G70-F70</f>
        <v>-6</v>
      </c>
      <c r="I70" s="113"/>
      <c r="J70" s="113">
        <v>0</v>
      </c>
      <c r="K70" s="113">
        <f>+'2014-15'!E$95</f>
        <v>0</v>
      </c>
      <c r="L70" s="113">
        <f>+K70-J70</f>
        <v>0</v>
      </c>
      <c r="M70" s="113"/>
      <c r="N70" s="113"/>
      <c r="O70" s="113">
        <f>+'2015-16'!E$95</f>
        <v>0</v>
      </c>
      <c r="P70" s="113"/>
      <c r="Q70" s="113"/>
      <c r="R70" s="113"/>
      <c r="S70" s="113">
        <f>+'2016-17'!E$95</f>
        <v>0</v>
      </c>
      <c r="T70" s="113"/>
    </row>
    <row r="71" spans="1:20" ht="12.75" outlineLevel="1">
      <c r="A71" t="s">
        <v>193</v>
      </c>
      <c r="B71" s="113">
        <v>0</v>
      </c>
      <c r="C71" s="113">
        <f>+'2012-13'!E$103</f>
        <v>-33</v>
      </c>
      <c r="D71" s="113">
        <f>+C71-B71</f>
        <v>-33</v>
      </c>
      <c r="E71" s="113"/>
      <c r="F71" s="113">
        <v>-66.2</v>
      </c>
      <c r="G71" s="113">
        <f>+'2013-14'!E$103</f>
        <v>-29.7</v>
      </c>
      <c r="H71" s="113">
        <f>+G71-F71</f>
        <v>36.5</v>
      </c>
      <c r="I71" s="113"/>
      <c r="J71" s="113">
        <v>-15</v>
      </c>
      <c r="K71" s="113">
        <f>+'2014-15'!E$103</f>
        <v>0</v>
      </c>
      <c r="L71" s="113">
        <f>+K71-J71</f>
        <v>15</v>
      </c>
      <c r="M71" s="113"/>
      <c r="N71" s="113"/>
      <c r="O71" s="113">
        <f>+'2015-16'!E$103</f>
        <v>-5.359</v>
      </c>
      <c r="P71" s="113"/>
      <c r="Q71" s="113"/>
      <c r="R71" s="113"/>
      <c r="S71" s="113">
        <f>+'2016-17'!E$103</f>
        <v>-5.272</v>
      </c>
      <c r="T71" s="113"/>
    </row>
    <row r="72" spans="1:20" s="3" customFormat="1" ht="13.5" outlineLevel="1" thickBot="1">
      <c r="A72" s="3" t="s">
        <v>39</v>
      </c>
      <c r="B72" s="114">
        <f>+SUM(B69:B71)</f>
        <v>-45</v>
      </c>
      <c r="C72" s="114">
        <f>+SUM(C69:C71)</f>
        <v>-100</v>
      </c>
      <c r="D72" s="114">
        <f>+SUM(D69:D71)</f>
        <v>-55</v>
      </c>
      <c r="E72" s="115"/>
      <c r="F72" s="114">
        <f>+SUM(F69:F71)</f>
        <v>-80.5</v>
      </c>
      <c r="G72" s="114">
        <f>+SUM(G69:G71)</f>
        <v>-37.2</v>
      </c>
      <c r="H72" s="114">
        <f>+SUM(H69:H71)</f>
        <v>43.3</v>
      </c>
      <c r="I72" s="116"/>
      <c r="J72" s="114">
        <f>+SUM(J69:J71)</f>
        <v>-15</v>
      </c>
      <c r="K72" s="114">
        <f>+SUM(K69:K71)</f>
        <v>-1.5</v>
      </c>
      <c r="L72" s="114">
        <f>+SUM(L69:L71)</f>
        <v>13.5</v>
      </c>
      <c r="M72" s="116"/>
      <c r="N72" s="114">
        <f>+SUM(N69:N71)</f>
        <v>0</v>
      </c>
      <c r="O72" s="114">
        <f>+SUM(O69:O71)</f>
        <v>-5.359</v>
      </c>
      <c r="P72" s="114">
        <f>+SUM(P69:P71)</f>
        <v>0</v>
      </c>
      <c r="Q72" s="116"/>
      <c r="R72" s="114">
        <f>+SUM(R69:R71)</f>
        <v>0</v>
      </c>
      <c r="S72" s="114">
        <f>+SUM(S69:S71)</f>
        <v>-5.272</v>
      </c>
      <c r="T72" s="114">
        <f>+SUM(T69:T71)</f>
        <v>0</v>
      </c>
    </row>
    <row r="73" spans="2:20" ht="12.75" outlineLevel="1"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</row>
    <row r="74" spans="1:20" s="112" customFormat="1" ht="17.25" thickBot="1">
      <c r="A74" s="123" t="s">
        <v>220</v>
      </c>
      <c r="B74" s="124">
        <f>+B72+B67+B61+B56</f>
        <v>-1535.0500000000002</v>
      </c>
      <c r="C74" s="124">
        <f>+C72+C67+C61+C56</f>
        <v>-1761.1247000000003</v>
      </c>
      <c r="D74" s="124">
        <f>+D72+D67+D61+D56</f>
        <v>-226.07470000000018</v>
      </c>
      <c r="E74" s="117"/>
      <c r="F74" s="124">
        <f>+F72+F67+F61+F56</f>
        <v>-630.47</v>
      </c>
      <c r="G74" s="124">
        <f>+G72+G67+G61+G56</f>
        <v>-636.06765</v>
      </c>
      <c r="H74" s="124">
        <f>+H72+H67+H61+H56</f>
        <v>-5.597649999999909</v>
      </c>
      <c r="I74" s="118"/>
      <c r="J74" s="124">
        <f>+J72+J67+J61+J56</f>
        <v>-488.54</v>
      </c>
      <c r="K74" s="124">
        <f>+K72+K67+K61+K56</f>
        <v>-685.53725</v>
      </c>
      <c r="L74" s="124">
        <f>+L72+L67+L61+L56</f>
        <v>-196.99725</v>
      </c>
      <c r="M74" s="118"/>
      <c r="N74" s="124">
        <f>+N72+N67+N61+N56</f>
        <v>0</v>
      </c>
      <c r="O74" s="124">
        <f>+O72+O67+O61+O56</f>
        <v>-498.88700000000006</v>
      </c>
      <c r="P74" s="124">
        <f>+P72+P67+P61+P56</f>
        <v>0</v>
      </c>
      <c r="Q74" s="118"/>
      <c r="R74" s="124">
        <f>+R72+R67+R61+R56</f>
        <v>0</v>
      </c>
      <c r="S74" s="124">
        <f>+S72+S67+S61+S56</f>
        <v>-225.09900000000002</v>
      </c>
      <c r="T74" s="124">
        <f>+T72+T67+T61+T56</f>
        <v>0</v>
      </c>
    </row>
    <row r="75" spans="2:20" ht="12.75"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</row>
    <row r="76" spans="1:20" ht="15" outlineLevel="1">
      <c r="A76" s="109" t="s">
        <v>3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</row>
    <row r="77" spans="1:20" ht="12.75" outlineLevel="1">
      <c r="A77" t="s">
        <v>25</v>
      </c>
      <c r="B77" s="113">
        <v>-10</v>
      </c>
      <c r="C77" s="113">
        <f>+'2012-13'!F$6</f>
        <v>-10</v>
      </c>
      <c r="D77" s="113">
        <f>+C77-B77</f>
        <v>0</v>
      </c>
      <c r="E77" s="113"/>
      <c r="F77" s="113">
        <v>0</v>
      </c>
      <c r="G77" s="113">
        <f>+'2013-14'!F$6</f>
        <v>0</v>
      </c>
      <c r="H77" s="113">
        <f>+G77-F77</f>
        <v>0</v>
      </c>
      <c r="I77" s="113"/>
      <c r="J77" s="113">
        <v>0</v>
      </c>
      <c r="K77" s="113">
        <f>+'2014-15'!F$6</f>
        <v>0</v>
      </c>
      <c r="L77" s="113">
        <f>+K77-J77</f>
        <v>0</v>
      </c>
      <c r="M77" s="113"/>
      <c r="N77" s="113"/>
      <c r="O77" s="113">
        <f>+'2015-16'!F$6</f>
        <v>0</v>
      </c>
      <c r="P77" s="113"/>
      <c r="Q77" s="113"/>
      <c r="R77" s="113"/>
      <c r="S77" s="113">
        <f>+'2016-17'!F$6</f>
        <v>0</v>
      </c>
      <c r="T77" s="113"/>
    </row>
    <row r="78" spans="1:20" ht="12.75" outlineLevel="1">
      <c r="A78" t="s">
        <v>35</v>
      </c>
      <c r="B78" s="113">
        <v>-50</v>
      </c>
      <c r="C78" s="113">
        <f>+'2012-13'!F$13</f>
        <v>0</v>
      </c>
      <c r="D78" s="113">
        <f>+C78-B78</f>
        <v>50</v>
      </c>
      <c r="E78" s="113"/>
      <c r="F78" s="113">
        <v>0</v>
      </c>
      <c r="G78" s="113">
        <f>+'2013-14'!F$13</f>
        <v>0</v>
      </c>
      <c r="H78" s="113">
        <f>+G78-F78</f>
        <v>0</v>
      </c>
      <c r="I78" s="113"/>
      <c r="J78" s="113">
        <v>0</v>
      </c>
      <c r="K78" s="113">
        <f>+'2014-15'!F$13</f>
        <v>0</v>
      </c>
      <c r="L78" s="113">
        <f>+K78-J78</f>
        <v>0</v>
      </c>
      <c r="M78" s="113"/>
      <c r="N78" s="113"/>
      <c r="O78" s="113">
        <f>+'2015-16'!F$13</f>
        <v>0</v>
      </c>
      <c r="P78" s="113"/>
      <c r="Q78" s="113"/>
      <c r="R78" s="113"/>
      <c r="S78" s="113">
        <f>+'2016-17'!F$13</f>
        <v>0</v>
      </c>
      <c r="T78" s="113"/>
    </row>
    <row r="79" spans="1:20" ht="12.75" outlineLevel="1">
      <c r="A79" t="s">
        <v>191</v>
      </c>
      <c r="B79" s="113">
        <v>0</v>
      </c>
      <c r="C79" s="113">
        <f>+'2012-13'!F$19</f>
        <v>0</v>
      </c>
      <c r="D79" s="113">
        <f>+C79-B79</f>
        <v>0</v>
      </c>
      <c r="E79" s="113"/>
      <c r="F79" s="113">
        <v>0</v>
      </c>
      <c r="G79" s="113">
        <f>+'2013-14'!F$19</f>
        <v>0</v>
      </c>
      <c r="H79" s="113">
        <f>+G79-F79</f>
        <v>0</v>
      </c>
      <c r="I79" s="113"/>
      <c r="J79" s="113">
        <v>0</v>
      </c>
      <c r="K79" s="113">
        <f>+'2014-15'!F$19</f>
        <v>0</v>
      </c>
      <c r="L79" s="113">
        <f>+K79-J79</f>
        <v>0</v>
      </c>
      <c r="M79" s="113"/>
      <c r="N79" s="113"/>
      <c r="O79" s="113">
        <f>+'2015-16'!F$19</f>
        <v>0</v>
      </c>
      <c r="P79" s="113"/>
      <c r="Q79" s="113"/>
      <c r="R79" s="113"/>
      <c r="S79" s="113">
        <f>+'2016-17'!F$19</f>
        <v>0</v>
      </c>
      <c r="T79" s="113"/>
    </row>
    <row r="80" spans="1:20" s="3" customFormat="1" ht="13.5" outlineLevel="1" thickBot="1">
      <c r="A80" s="3" t="s">
        <v>24</v>
      </c>
      <c r="B80" s="114">
        <f>+SUM(B77:B79)</f>
        <v>-60</v>
      </c>
      <c r="C80" s="114">
        <f>+SUM(C77:C79)</f>
        <v>-10</v>
      </c>
      <c r="D80" s="114">
        <f>+SUM(D77:D79)</f>
        <v>50</v>
      </c>
      <c r="E80" s="115"/>
      <c r="F80" s="114">
        <f>+SUM(F77:F79)</f>
        <v>0</v>
      </c>
      <c r="G80" s="114">
        <f>+SUM(G77:G79)</f>
        <v>0</v>
      </c>
      <c r="H80" s="114">
        <f>+SUM(H77:H79)</f>
        <v>0</v>
      </c>
      <c r="I80" s="116"/>
      <c r="J80" s="114">
        <f>+SUM(J77:J79)</f>
        <v>0</v>
      </c>
      <c r="K80" s="114">
        <f>+SUM(K77:K79)</f>
        <v>0</v>
      </c>
      <c r="L80" s="114">
        <f>+SUM(L77:L79)</f>
        <v>0</v>
      </c>
      <c r="M80" s="116"/>
      <c r="N80" s="114">
        <f>+SUM(N77:N79)</f>
        <v>0</v>
      </c>
      <c r="O80" s="114">
        <f>+SUM(O77:O79)</f>
        <v>0</v>
      </c>
      <c r="P80" s="114">
        <f>+SUM(P77:P79)</f>
        <v>0</v>
      </c>
      <c r="Q80" s="116"/>
      <c r="R80" s="114">
        <f>+SUM(R77:R79)</f>
        <v>0</v>
      </c>
      <c r="S80" s="114">
        <f>+SUM(S77:S79)</f>
        <v>0</v>
      </c>
      <c r="T80" s="114">
        <f>+SUM(T77:T79)</f>
        <v>0</v>
      </c>
    </row>
    <row r="81" spans="2:20" ht="12.75" outlineLevel="1"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</row>
    <row r="82" spans="1:20" ht="12.75" outlineLevel="1">
      <c r="A82" t="s">
        <v>7</v>
      </c>
      <c r="B82" s="113">
        <v>-294</v>
      </c>
      <c r="C82" s="113">
        <f>+'2012-13'!F$29</f>
        <v>-170</v>
      </c>
      <c r="D82" s="113">
        <f>+C82-B82</f>
        <v>124</v>
      </c>
      <c r="E82" s="113"/>
      <c r="F82" s="113">
        <v>-70</v>
      </c>
      <c r="G82" s="113">
        <f>+'2013-14'!F$29</f>
        <v>0</v>
      </c>
      <c r="H82" s="113">
        <f>+G82-F82</f>
        <v>70</v>
      </c>
      <c r="I82" s="113"/>
      <c r="J82" s="113">
        <v>0</v>
      </c>
      <c r="K82" s="113">
        <f>+'2014-15'!F$29</f>
        <v>0</v>
      </c>
      <c r="L82" s="113">
        <f>+K82-J82</f>
        <v>0</v>
      </c>
      <c r="M82" s="113"/>
      <c r="N82" s="113"/>
      <c r="O82" s="113">
        <f>+'2015-16'!F$29</f>
        <v>0</v>
      </c>
      <c r="P82" s="113"/>
      <c r="Q82" s="113"/>
      <c r="R82" s="113"/>
      <c r="S82" s="113">
        <f>+'2016-17'!F$29</f>
        <v>0</v>
      </c>
      <c r="T82" s="113"/>
    </row>
    <row r="83" spans="1:20" ht="12.75" outlineLevel="1">
      <c r="A83" t="s">
        <v>192</v>
      </c>
      <c r="B83" s="113">
        <v>0</v>
      </c>
      <c r="C83" s="113">
        <f>+'2012-13'!F$37</f>
        <v>0</v>
      </c>
      <c r="D83" s="113">
        <f>+C83-B83</f>
        <v>0</v>
      </c>
      <c r="E83" s="113"/>
      <c r="F83" s="113">
        <v>0</v>
      </c>
      <c r="G83" s="113">
        <f>+'2013-14'!F$37</f>
        <v>0</v>
      </c>
      <c r="H83" s="113">
        <f>+G83-F83</f>
        <v>0</v>
      </c>
      <c r="I83" s="113"/>
      <c r="J83" s="113">
        <v>0</v>
      </c>
      <c r="K83" s="113">
        <f>+'2014-15'!F$37</f>
        <v>0</v>
      </c>
      <c r="L83" s="113">
        <f>+K83-J83</f>
        <v>0</v>
      </c>
      <c r="M83" s="113"/>
      <c r="N83" s="113"/>
      <c r="O83" s="113">
        <f>+'2015-16'!F$37</f>
        <v>0</v>
      </c>
      <c r="P83" s="113"/>
      <c r="Q83" s="113"/>
      <c r="R83" s="113"/>
      <c r="S83" s="113">
        <f>+'2016-17'!F$37</f>
        <v>0</v>
      </c>
      <c r="T83" s="113"/>
    </row>
    <row r="84" spans="1:20" ht="12.75" outlineLevel="1">
      <c r="A84" t="s">
        <v>148</v>
      </c>
      <c r="B84" s="113">
        <v>0</v>
      </c>
      <c r="C84" s="113">
        <f>+'2012-13'!F$42</f>
        <v>0</v>
      </c>
      <c r="D84" s="113">
        <f>+C84-B84</f>
        <v>0</v>
      </c>
      <c r="E84" s="113"/>
      <c r="F84" s="113">
        <v>0</v>
      </c>
      <c r="G84" s="113">
        <f>+'2013-14'!F$42</f>
        <v>0</v>
      </c>
      <c r="H84" s="113">
        <f>+G84-F84</f>
        <v>0</v>
      </c>
      <c r="I84" s="113"/>
      <c r="J84" s="113">
        <v>0</v>
      </c>
      <c r="K84" s="113">
        <f>+'2014-15'!F$42</f>
        <v>0</v>
      </c>
      <c r="L84" s="113">
        <f>+K84-J84</f>
        <v>0</v>
      </c>
      <c r="M84" s="113"/>
      <c r="N84" s="113"/>
      <c r="O84" s="113">
        <f>+'2015-16'!F$42</f>
        <v>0</v>
      </c>
      <c r="P84" s="113"/>
      <c r="Q84" s="113"/>
      <c r="R84" s="113"/>
      <c r="S84" s="113">
        <f>+'2016-17'!F$42</f>
        <v>0</v>
      </c>
      <c r="T84" s="113"/>
    </row>
    <row r="85" spans="1:20" s="3" customFormat="1" ht="13.5" outlineLevel="1" thickBot="1">
      <c r="A85" s="3" t="s">
        <v>36</v>
      </c>
      <c r="B85" s="114">
        <f>+SUM(B82:B84)</f>
        <v>-294</v>
      </c>
      <c r="C85" s="114">
        <f>+SUM(C82:C84)</f>
        <v>-170</v>
      </c>
      <c r="D85" s="114">
        <f>+SUM(D82:D84)</f>
        <v>124</v>
      </c>
      <c r="E85" s="115"/>
      <c r="F85" s="114">
        <f>+SUM(F82:F84)</f>
        <v>-70</v>
      </c>
      <c r="G85" s="114">
        <f>+SUM(G82:G84)</f>
        <v>0</v>
      </c>
      <c r="H85" s="114">
        <f>+SUM(H82:H84)</f>
        <v>70</v>
      </c>
      <c r="I85" s="116"/>
      <c r="J85" s="114">
        <f>+SUM(J82:J84)</f>
        <v>0</v>
      </c>
      <c r="K85" s="114">
        <f>+SUM(K82:K84)</f>
        <v>0</v>
      </c>
      <c r="L85" s="114">
        <f>+SUM(L82:L84)</f>
        <v>0</v>
      </c>
      <c r="M85" s="116"/>
      <c r="N85" s="114">
        <f>+SUM(N82:N84)</f>
        <v>0</v>
      </c>
      <c r="O85" s="114">
        <f>+SUM(O82:O84)</f>
        <v>0</v>
      </c>
      <c r="P85" s="114">
        <f>+SUM(P82:P84)</f>
        <v>0</v>
      </c>
      <c r="Q85" s="116"/>
      <c r="R85" s="114">
        <f>+SUM(R82:R84)</f>
        <v>0</v>
      </c>
      <c r="S85" s="114">
        <f>+SUM(S82:S84)</f>
        <v>0</v>
      </c>
      <c r="T85" s="114">
        <f>+SUM(T82:T84)</f>
        <v>0</v>
      </c>
    </row>
    <row r="86" spans="2:20" ht="12.75" outlineLevel="1"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</row>
    <row r="87" spans="1:20" ht="12.75" outlineLevel="1">
      <c r="A87" t="s">
        <v>30</v>
      </c>
      <c r="B87" s="113">
        <v>-204</v>
      </c>
      <c r="C87" s="113">
        <f>+'2012-13'!F$51</f>
        <v>-204</v>
      </c>
      <c r="D87" s="113">
        <f>+C87-B87</f>
        <v>0</v>
      </c>
      <c r="E87" s="113"/>
      <c r="F87" s="113">
        <v>-73</v>
      </c>
      <c r="G87" s="113">
        <f>+'2013-14'!F$51</f>
        <v>-73</v>
      </c>
      <c r="H87" s="113">
        <f>+G87-F87</f>
        <v>0</v>
      </c>
      <c r="I87" s="113"/>
      <c r="J87" s="113">
        <v>-20</v>
      </c>
      <c r="K87" s="113">
        <f>+'2014-15'!F$51</f>
        <v>-20</v>
      </c>
      <c r="L87" s="113">
        <f>+K87-J87</f>
        <v>0</v>
      </c>
      <c r="M87" s="113"/>
      <c r="N87" s="113"/>
      <c r="O87" s="113">
        <f>+'2015-16'!F$51</f>
        <v>0</v>
      </c>
      <c r="P87" s="113"/>
      <c r="Q87" s="113"/>
      <c r="R87" s="113"/>
      <c r="S87" s="113">
        <f>+'2016-17'!F$51</f>
        <v>0</v>
      </c>
      <c r="T87" s="113"/>
    </row>
    <row r="88" spans="1:20" ht="12.75" outlineLevel="1">
      <c r="A88" t="s">
        <v>138</v>
      </c>
      <c r="B88" s="113">
        <v>-50</v>
      </c>
      <c r="C88" s="113">
        <f>+'2012-13'!F$58</f>
        <v>-50</v>
      </c>
      <c r="D88" s="113">
        <f>+C88-B88</f>
        <v>0</v>
      </c>
      <c r="E88" s="113"/>
      <c r="F88" s="113">
        <v>0</v>
      </c>
      <c r="G88" s="113">
        <f>+'2013-14'!F$58</f>
        <v>0</v>
      </c>
      <c r="H88" s="113">
        <f>+G88-F88</f>
        <v>0</v>
      </c>
      <c r="I88" s="113"/>
      <c r="J88" s="113">
        <v>0</v>
      </c>
      <c r="K88" s="113">
        <f>+'2014-15'!F$58</f>
        <v>0</v>
      </c>
      <c r="L88" s="113">
        <f>+K88-J88</f>
        <v>0</v>
      </c>
      <c r="M88" s="113"/>
      <c r="N88" s="113"/>
      <c r="O88" s="113">
        <f>+'2015-16'!F$58</f>
        <v>0</v>
      </c>
      <c r="P88" s="113"/>
      <c r="Q88" s="113"/>
      <c r="R88" s="113"/>
      <c r="S88" s="113">
        <f>+'2016-17'!F$58</f>
        <v>0</v>
      </c>
      <c r="T88" s="113"/>
    </row>
    <row r="89" spans="1:20" ht="12.75" outlineLevel="1">
      <c r="A89" t="s">
        <v>21</v>
      </c>
      <c r="B89" s="113">
        <v>0</v>
      </c>
      <c r="C89" s="113">
        <f>+'2012-13'!F$70</f>
        <v>93</v>
      </c>
      <c r="D89" s="113">
        <f>+C89-B89</f>
        <v>93</v>
      </c>
      <c r="E89" s="113"/>
      <c r="F89" s="113">
        <v>0</v>
      </c>
      <c r="G89" s="113">
        <f>+'2013-14'!F$70</f>
        <v>-88</v>
      </c>
      <c r="H89" s="113">
        <f>+G89-F89</f>
        <v>-88</v>
      </c>
      <c r="I89" s="113"/>
      <c r="J89" s="113">
        <v>0</v>
      </c>
      <c r="K89" s="113">
        <f>+'2014-15'!F$70</f>
        <v>0</v>
      </c>
      <c r="L89" s="113">
        <f>+K89-J89</f>
        <v>0</v>
      </c>
      <c r="M89" s="113"/>
      <c r="N89" s="113"/>
      <c r="O89" s="113">
        <f>+'2015-16'!F$70</f>
        <v>0</v>
      </c>
      <c r="P89" s="113"/>
      <c r="Q89" s="113"/>
      <c r="R89" s="113"/>
      <c r="S89" s="113">
        <f>+'2016-17'!F$70</f>
        <v>0</v>
      </c>
      <c r="T89" s="113"/>
    </row>
    <row r="90" spans="1:20" ht="12.75" outlineLevel="1">
      <c r="A90" t="s">
        <v>38</v>
      </c>
      <c r="B90" s="113">
        <v>-2</v>
      </c>
      <c r="C90" s="113">
        <f>+'2012-13'!F$76</f>
        <v>-2</v>
      </c>
      <c r="D90" s="113">
        <f>+C90-B90</f>
        <v>0</v>
      </c>
      <c r="E90" s="113"/>
      <c r="F90" s="113">
        <v>0</v>
      </c>
      <c r="G90" s="113">
        <f>+'2013-14'!F$76</f>
        <v>0</v>
      </c>
      <c r="H90" s="113">
        <f>+G90-F90</f>
        <v>0</v>
      </c>
      <c r="I90" s="113"/>
      <c r="J90" s="113">
        <v>0</v>
      </c>
      <c r="K90" s="113">
        <f>+'2014-15'!F$76</f>
        <v>0</v>
      </c>
      <c r="L90" s="113">
        <f>+K90-J90</f>
        <v>0</v>
      </c>
      <c r="M90" s="113"/>
      <c r="N90" s="113"/>
      <c r="O90" s="113">
        <f>+'2015-16'!F$76</f>
        <v>0</v>
      </c>
      <c r="P90" s="113"/>
      <c r="Q90" s="113"/>
      <c r="R90" s="113"/>
      <c r="S90" s="113">
        <f>+'2016-17'!F$76</f>
        <v>-35</v>
      </c>
      <c r="T90" s="113"/>
    </row>
    <row r="91" spans="1:20" s="3" customFormat="1" ht="13.5" outlineLevel="1" thickBot="1">
      <c r="A91" s="3" t="s">
        <v>29</v>
      </c>
      <c r="B91" s="114">
        <f>+SUM(B87:B90)</f>
        <v>-256</v>
      </c>
      <c r="C91" s="114">
        <f>+SUM(C87:C90)</f>
        <v>-163</v>
      </c>
      <c r="D91" s="114">
        <f>+SUM(D87:D90)</f>
        <v>93</v>
      </c>
      <c r="E91" s="115"/>
      <c r="F91" s="114">
        <f>+SUM(F87:F90)</f>
        <v>-73</v>
      </c>
      <c r="G91" s="114">
        <f>+SUM(G87:G90)</f>
        <v>-161</v>
      </c>
      <c r="H91" s="114">
        <f>+SUM(H87:H90)</f>
        <v>-88</v>
      </c>
      <c r="I91" s="116"/>
      <c r="J91" s="114">
        <f>+SUM(J87:J90)</f>
        <v>-20</v>
      </c>
      <c r="K91" s="114">
        <f>+SUM(K87:K90)</f>
        <v>-20</v>
      </c>
      <c r="L91" s="114">
        <f>+SUM(L87:L90)</f>
        <v>0</v>
      </c>
      <c r="M91" s="116"/>
      <c r="N91" s="114">
        <f>+SUM(N87:N90)</f>
        <v>0</v>
      </c>
      <c r="O91" s="114">
        <f>+SUM(O87:O90)</f>
        <v>0</v>
      </c>
      <c r="P91" s="114">
        <f>+SUM(P87:P90)</f>
        <v>0</v>
      </c>
      <c r="Q91" s="116"/>
      <c r="R91" s="114">
        <f>+SUM(R87:R90)</f>
        <v>0</v>
      </c>
      <c r="S91" s="114">
        <f>+SUM(S87:S90)</f>
        <v>-35</v>
      </c>
      <c r="T91" s="114">
        <f>+SUM(T87:T90)</f>
        <v>0</v>
      </c>
    </row>
    <row r="92" spans="2:20" ht="12.75" outlineLevel="1"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</row>
    <row r="93" spans="1:20" ht="13.5" customHeight="1" outlineLevel="1">
      <c r="A93" t="s">
        <v>194</v>
      </c>
      <c r="B93" s="113">
        <v>-160</v>
      </c>
      <c r="C93" s="113">
        <f>+'2012-13'!F$89</f>
        <v>-130</v>
      </c>
      <c r="D93" s="113">
        <f>+C93-B93</f>
        <v>30</v>
      </c>
      <c r="E93" s="113"/>
      <c r="F93" s="113">
        <v>0</v>
      </c>
      <c r="G93" s="113">
        <f>+'2013-14'!F$89</f>
        <v>-30</v>
      </c>
      <c r="H93" s="113">
        <f>+G93-F93</f>
        <v>-30</v>
      </c>
      <c r="I93" s="113"/>
      <c r="J93" s="113">
        <v>0</v>
      </c>
      <c r="K93" s="113">
        <f>+'2014-15'!F$89</f>
        <v>0</v>
      </c>
      <c r="L93" s="113">
        <f>+K93-J93</f>
        <v>0</v>
      </c>
      <c r="M93" s="113"/>
      <c r="N93" s="113"/>
      <c r="O93" s="113">
        <f>+'2015-16'!F$89</f>
        <v>0</v>
      </c>
      <c r="P93" s="113"/>
      <c r="Q93" s="113"/>
      <c r="R93" s="113"/>
      <c r="S93" s="113">
        <f>+'2016-17'!F$89</f>
        <v>0</v>
      </c>
      <c r="T93" s="113"/>
    </row>
    <row r="94" spans="1:20" ht="12.75" outlineLevel="1">
      <c r="A94" t="s">
        <v>14</v>
      </c>
      <c r="B94" s="113">
        <v>0</v>
      </c>
      <c r="C94" s="113">
        <f>+'2012-13'!F$95</f>
        <v>0</v>
      </c>
      <c r="D94" s="113">
        <f>+C94-B94</f>
        <v>0</v>
      </c>
      <c r="E94" s="113"/>
      <c r="F94" s="113">
        <v>0</v>
      </c>
      <c r="G94" s="113">
        <f>+'2013-14'!F$95</f>
        <v>0</v>
      </c>
      <c r="H94" s="113">
        <f>+G94-F94</f>
        <v>0</v>
      </c>
      <c r="I94" s="113"/>
      <c r="J94" s="113">
        <v>0</v>
      </c>
      <c r="K94" s="113">
        <f>+'2014-15'!F$95</f>
        <v>0</v>
      </c>
      <c r="L94" s="113">
        <f>+K94-J94</f>
        <v>0</v>
      </c>
      <c r="M94" s="113"/>
      <c r="N94" s="113"/>
      <c r="O94" s="113">
        <f>+'2015-16'!F$95</f>
        <v>0</v>
      </c>
      <c r="P94" s="113"/>
      <c r="Q94" s="113"/>
      <c r="R94" s="113"/>
      <c r="S94" s="113">
        <f>+'2016-17'!F$95</f>
        <v>0</v>
      </c>
      <c r="T94" s="113"/>
    </row>
    <row r="95" spans="1:20" ht="12.75" outlineLevel="1">
      <c r="A95" t="s">
        <v>193</v>
      </c>
      <c r="B95" s="113">
        <v>14</v>
      </c>
      <c r="C95" s="113">
        <f>+'2012-13'!F$103</f>
        <v>14</v>
      </c>
      <c r="D95" s="113">
        <f>+C95-B95</f>
        <v>0</v>
      </c>
      <c r="E95" s="113"/>
      <c r="F95" s="113">
        <v>-14</v>
      </c>
      <c r="G95" s="113">
        <f>+'2013-14'!F$103</f>
        <v>-14</v>
      </c>
      <c r="H95" s="113">
        <f>+G95-F95</f>
        <v>0</v>
      </c>
      <c r="I95" s="113"/>
      <c r="J95" s="113">
        <v>0</v>
      </c>
      <c r="K95" s="113">
        <f>+'2014-15'!F$103</f>
        <v>0</v>
      </c>
      <c r="L95" s="113">
        <f>+K95-J95</f>
        <v>0</v>
      </c>
      <c r="M95" s="113"/>
      <c r="N95" s="113"/>
      <c r="O95" s="113">
        <f>+'2015-16'!F$103</f>
        <v>0</v>
      </c>
      <c r="P95" s="113"/>
      <c r="Q95" s="113"/>
      <c r="R95" s="113"/>
      <c r="S95" s="113">
        <f>+'2016-17'!F$103</f>
        <v>0</v>
      </c>
      <c r="T95" s="113"/>
    </row>
    <row r="96" spans="1:20" s="3" customFormat="1" ht="13.5" outlineLevel="1" thickBot="1">
      <c r="A96" s="3" t="s">
        <v>39</v>
      </c>
      <c r="B96" s="114">
        <f>+SUM(B93:B95)</f>
        <v>-146</v>
      </c>
      <c r="C96" s="114">
        <f>+SUM(C93:C95)</f>
        <v>-116</v>
      </c>
      <c r="D96" s="114">
        <f>+SUM(D93:D95)</f>
        <v>30</v>
      </c>
      <c r="E96" s="115"/>
      <c r="F96" s="114">
        <f>+SUM(F93:F95)</f>
        <v>-14</v>
      </c>
      <c r="G96" s="114">
        <f>+SUM(G93:G95)</f>
        <v>-44</v>
      </c>
      <c r="H96" s="114">
        <f>+SUM(H93:H95)</f>
        <v>-30</v>
      </c>
      <c r="I96" s="116"/>
      <c r="J96" s="114">
        <f>+SUM(J93:J95)</f>
        <v>0</v>
      </c>
      <c r="K96" s="114">
        <f>+SUM(K93:K95)</f>
        <v>0</v>
      </c>
      <c r="L96" s="114">
        <f>+SUM(L93:L95)</f>
        <v>0</v>
      </c>
      <c r="M96" s="116"/>
      <c r="N96" s="114">
        <f>+SUM(N93:N95)</f>
        <v>0</v>
      </c>
      <c r="O96" s="114">
        <f>+SUM(O93:O95)</f>
        <v>0</v>
      </c>
      <c r="P96" s="114">
        <f>+SUM(P93:P95)</f>
        <v>0</v>
      </c>
      <c r="Q96" s="116"/>
      <c r="R96" s="114">
        <f>+SUM(R93:R95)</f>
        <v>0</v>
      </c>
      <c r="S96" s="114">
        <f>+SUM(S93:S95)</f>
        <v>0</v>
      </c>
      <c r="T96" s="114">
        <f>+SUM(T93:T95)</f>
        <v>0</v>
      </c>
    </row>
    <row r="97" spans="2:20" ht="12.75" outlineLevel="1"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</row>
    <row r="98" spans="1:20" s="112" customFormat="1" ht="17.25" thickBot="1">
      <c r="A98" s="123" t="s">
        <v>199</v>
      </c>
      <c r="B98" s="124">
        <f>+B96+B91+B85+B80</f>
        <v>-756</v>
      </c>
      <c r="C98" s="124">
        <f>+C96+C91+C85+C80</f>
        <v>-459</v>
      </c>
      <c r="D98" s="124">
        <f>+D96+D91+D85+D80</f>
        <v>297</v>
      </c>
      <c r="E98" s="117"/>
      <c r="F98" s="124">
        <f>+F96+F91+F85+F80</f>
        <v>-157</v>
      </c>
      <c r="G98" s="124">
        <f>+G96+G91+G85+G80</f>
        <v>-205</v>
      </c>
      <c r="H98" s="124">
        <f>+H96+H91+H85+H80</f>
        <v>-48</v>
      </c>
      <c r="I98" s="118"/>
      <c r="J98" s="124">
        <f>+J96+J91+J85+J80</f>
        <v>-20</v>
      </c>
      <c r="K98" s="124">
        <f>+K96+K91+K85+K80</f>
        <v>-20</v>
      </c>
      <c r="L98" s="124">
        <f>+L96+L91+L85+L80</f>
        <v>0</v>
      </c>
      <c r="M98" s="118"/>
      <c r="N98" s="124">
        <f>+N96+N91+N85+N80</f>
        <v>0</v>
      </c>
      <c r="O98" s="124">
        <f>+O96+O91+O85+O80</f>
        <v>0</v>
      </c>
      <c r="P98" s="124">
        <f>+P96+P91+P85+P80</f>
        <v>0</v>
      </c>
      <c r="Q98" s="118"/>
      <c r="R98" s="124">
        <f>+R96+R91+R85+R80</f>
        <v>0</v>
      </c>
      <c r="S98" s="124">
        <f>+S96+S91+S85+S80</f>
        <v>-35</v>
      </c>
      <c r="T98" s="124">
        <f>+T96+T91+T85+T80</f>
        <v>0</v>
      </c>
    </row>
    <row r="99" spans="2:20" ht="12.75"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</row>
    <row r="100" spans="1:20" ht="15" outlineLevel="1">
      <c r="A100" s="109" t="s">
        <v>196</v>
      </c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</row>
    <row r="101" spans="1:20" ht="12.75" outlineLevel="1">
      <c r="A101" t="s">
        <v>25</v>
      </c>
      <c r="B101" s="113">
        <v>-30</v>
      </c>
      <c r="C101" s="113">
        <f>+'2012-13'!G$6</f>
        <v>-191</v>
      </c>
      <c r="D101" s="113">
        <f>+C101-B101</f>
        <v>-161</v>
      </c>
      <c r="E101" s="113"/>
      <c r="F101" s="113">
        <v>-40</v>
      </c>
      <c r="G101" s="113">
        <f>+'2013-14'!G$6</f>
        <v>-90</v>
      </c>
      <c r="H101" s="113">
        <f>+G101-F101</f>
        <v>-50</v>
      </c>
      <c r="I101" s="113"/>
      <c r="J101" s="113">
        <v>-5</v>
      </c>
      <c r="K101" s="113">
        <f>+'2014-15'!G$6</f>
        <v>95</v>
      </c>
      <c r="L101" s="113">
        <f>+K101-J101</f>
        <v>100</v>
      </c>
      <c r="M101" s="113"/>
      <c r="N101" s="113"/>
      <c r="O101" s="113">
        <f>+'2015-16'!G$6</f>
        <v>69.463</v>
      </c>
      <c r="P101" s="113"/>
      <c r="Q101" s="113"/>
      <c r="R101" s="113"/>
      <c r="S101" s="113">
        <f>+'2016-17'!G$6</f>
        <v>-6.207</v>
      </c>
      <c r="T101" s="113"/>
    </row>
    <row r="102" spans="1:20" ht="12.75" outlineLevel="1">
      <c r="A102" t="s">
        <v>35</v>
      </c>
      <c r="B102" s="113">
        <v>0</v>
      </c>
      <c r="C102" s="113">
        <f>+'2012-13'!G$13</f>
        <v>-50</v>
      </c>
      <c r="D102" s="113">
        <f>+C102-B102</f>
        <v>-50</v>
      </c>
      <c r="E102" s="113"/>
      <c r="F102" s="113">
        <v>-77</v>
      </c>
      <c r="G102" s="113">
        <f>+'2013-14'!G$13</f>
        <v>-77</v>
      </c>
      <c r="H102" s="113">
        <f>+G102-F102</f>
        <v>0</v>
      </c>
      <c r="I102" s="113"/>
      <c r="J102" s="113">
        <v>-12</v>
      </c>
      <c r="K102" s="113">
        <f>+'2014-15'!G$13</f>
        <v>-12</v>
      </c>
      <c r="L102" s="113">
        <f>+K102-J102</f>
        <v>0</v>
      </c>
      <c r="M102" s="113"/>
      <c r="N102" s="113"/>
      <c r="O102" s="113">
        <f>+'2015-16'!G$13</f>
        <v>-200</v>
      </c>
      <c r="P102" s="113"/>
      <c r="Q102" s="113"/>
      <c r="R102" s="113"/>
      <c r="S102" s="113">
        <f>+'2016-17'!G$13</f>
        <v>0</v>
      </c>
      <c r="T102" s="113"/>
    </row>
    <row r="103" spans="1:20" ht="12.75" outlineLevel="1">
      <c r="A103" t="s">
        <v>191</v>
      </c>
      <c r="B103" s="113">
        <v>0</v>
      </c>
      <c r="C103" s="113">
        <f>+'2012-13'!G$19</f>
        <v>0</v>
      </c>
      <c r="D103" s="113">
        <f>+C103-B103</f>
        <v>0</v>
      </c>
      <c r="E103" s="113"/>
      <c r="F103" s="113">
        <v>0</v>
      </c>
      <c r="G103" s="113">
        <f>+'2013-14'!G$19</f>
        <v>0</v>
      </c>
      <c r="H103" s="113">
        <f>+G103-F103</f>
        <v>0</v>
      </c>
      <c r="I103" s="113"/>
      <c r="J103" s="113">
        <v>0</v>
      </c>
      <c r="K103" s="113">
        <f>+'2014-15'!G$19</f>
        <v>0</v>
      </c>
      <c r="L103" s="113">
        <f>+K103-J103</f>
        <v>0</v>
      </c>
      <c r="M103" s="113"/>
      <c r="N103" s="113"/>
      <c r="O103" s="113">
        <f>+'2015-16'!G$19</f>
        <v>0</v>
      </c>
      <c r="P103" s="113"/>
      <c r="Q103" s="113"/>
      <c r="R103" s="113"/>
      <c r="S103" s="113">
        <f>+'2016-17'!G$19</f>
        <v>0</v>
      </c>
      <c r="T103" s="113"/>
    </row>
    <row r="104" spans="1:20" s="3" customFormat="1" ht="13.5" outlineLevel="1" thickBot="1">
      <c r="A104" s="3" t="s">
        <v>24</v>
      </c>
      <c r="B104" s="114">
        <f>+SUM(B101:B103)</f>
        <v>-30</v>
      </c>
      <c r="C104" s="114">
        <f>+SUM(C101:C103)</f>
        <v>-241</v>
      </c>
      <c r="D104" s="114">
        <f>+SUM(D101:D103)</f>
        <v>-211</v>
      </c>
      <c r="E104" s="115"/>
      <c r="F104" s="114">
        <f>+SUM(F101:F103)</f>
        <v>-117</v>
      </c>
      <c r="G104" s="114">
        <f>+SUM(G101:G103)</f>
        <v>-167</v>
      </c>
      <c r="H104" s="114">
        <f>+SUM(H101:H103)</f>
        <v>-50</v>
      </c>
      <c r="I104" s="116"/>
      <c r="J104" s="114">
        <f>+SUM(J101:J103)</f>
        <v>-17</v>
      </c>
      <c r="K104" s="114">
        <f>+SUM(K101:K103)</f>
        <v>83</v>
      </c>
      <c r="L104" s="114">
        <f>+SUM(L101:L103)</f>
        <v>100</v>
      </c>
      <c r="M104" s="116"/>
      <c r="N104" s="114">
        <f>+SUM(N101:N103)</f>
        <v>0</v>
      </c>
      <c r="O104" s="114">
        <f>+SUM(O101:O103)</f>
        <v>-130.537</v>
      </c>
      <c r="P104" s="114">
        <f>+SUM(P101:P103)</f>
        <v>0</v>
      </c>
      <c r="Q104" s="116"/>
      <c r="R104" s="114">
        <f>+SUM(R101:R103)</f>
        <v>0</v>
      </c>
      <c r="S104" s="114">
        <f>+SUM(S101:S103)</f>
        <v>-6.207</v>
      </c>
      <c r="T104" s="114">
        <f>+SUM(T101:T103)</f>
        <v>0</v>
      </c>
    </row>
    <row r="105" spans="2:20" ht="12.75" outlineLevel="1"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</row>
    <row r="106" spans="1:20" ht="12.75" outlineLevel="1">
      <c r="A106" t="s">
        <v>7</v>
      </c>
      <c r="B106" s="113">
        <v>0</v>
      </c>
      <c r="C106" s="113">
        <f>+'2012-13'!G$29</f>
        <v>0</v>
      </c>
      <c r="D106" s="113">
        <f>+C106-B106</f>
        <v>0</v>
      </c>
      <c r="E106" s="113"/>
      <c r="F106" s="113">
        <v>0</v>
      </c>
      <c r="G106" s="113">
        <f>+'2013-14'!G$29</f>
        <v>0</v>
      </c>
      <c r="H106" s="113">
        <f>+G106-F106</f>
        <v>0</v>
      </c>
      <c r="I106" s="113"/>
      <c r="J106" s="113">
        <v>0</v>
      </c>
      <c r="K106" s="113">
        <f>+'2014-15'!G$29</f>
        <v>0</v>
      </c>
      <c r="L106" s="113">
        <f>+K106-J106</f>
        <v>0</v>
      </c>
      <c r="M106" s="113"/>
      <c r="N106" s="113"/>
      <c r="O106" s="113">
        <f>+'2015-16'!G$29</f>
        <v>0</v>
      </c>
      <c r="P106" s="113"/>
      <c r="Q106" s="113"/>
      <c r="R106" s="113"/>
      <c r="S106" s="113">
        <f>+'2016-17'!G$29</f>
        <v>0</v>
      </c>
      <c r="T106" s="113"/>
    </row>
    <row r="107" spans="1:20" ht="12.75" outlineLevel="1">
      <c r="A107" t="s">
        <v>192</v>
      </c>
      <c r="B107" s="113">
        <v>0</v>
      </c>
      <c r="C107" s="113">
        <f>+'2012-13'!G$37</f>
        <v>0</v>
      </c>
      <c r="D107" s="113">
        <f>+C107-B107</f>
        <v>0</v>
      </c>
      <c r="E107" s="113"/>
      <c r="F107" s="113">
        <v>0</v>
      </c>
      <c r="G107" s="113">
        <f>+'2013-14'!G$37</f>
        <v>0</v>
      </c>
      <c r="H107" s="113">
        <f>+G107-F107</f>
        <v>0</v>
      </c>
      <c r="I107" s="113"/>
      <c r="J107" s="113">
        <v>0</v>
      </c>
      <c r="K107" s="113">
        <f>+'2014-15'!G$37</f>
        <v>0</v>
      </c>
      <c r="L107" s="113">
        <f>+K107-J107</f>
        <v>0</v>
      </c>
      <c r="M107" s="113"/>
      <c r="N107" s="113"/>
      <c r="O107" s="113">
        <f>+'2015-16'!G$37</f>
        <v>0</v>
      </c>
      <c r="P107" s="113"/>
      <c r="Q107" s="113"/>
      <c r="R107" s="113"/>
      <c r="S107" s="113">
        <f>+'2016-17'!G$37</f>
        <v>0</v>
      </c>
      <c r="T107" s="113"/>
    </row>
    <row r="108" spans="1:20" ht="12.75" outlineLevel="1">
      <c r="A108" t="s">
        <v>148</v>
      </c>
      <c r="B108" s="113">
        <v>0</v>
      </c>
      <c r="C108" s="113">
        <f>+'2012-13'!G$42</f>
        <v>0</v>
      </c>
      <c r="D108" s="113">
        <f>+C108-B108</f>
        <v>0</v>
      </c>
      <c r="E108" s="113"/>
      <c r="F108" s="113">
        <v>0</v>
      </c>
      <c r="G108" s="113">
        <f>+'2013-14'!G$42</f>
        <v>0</v>
      </c>
      <c r="H108" s="113">
        <f>+G108-F108</f>
        <v>0</v>
      </c>
      <c r="I108" s="113"/>
      <c r="J108" s="113">
        <v>0</v>
      </c>
      <c r="K108" s="113">
        <f>+'2014-15'!G$42</f>
        <v>0</v>
      </c>
      <c r="L108" s="113">
        <f>+K108-J108</f>
        <v>0</v>
      </c>
      <c r="M108" s="113"/>
      <c r="N108" s="113"/>
      <c r="O108" s="113">
        <f>+'2015-16'!G$42</f>
        <v>0</v>
      </c>
      <c r="P108" s="113"/>
      <c r="Q108" s="113"/>
      <c r="R108" s="113"/>
      <c r="S108" s="113">
        <f>+'2016-17'!G$42</f>
        <v>0</v>
      </c>
      <c r="T108" s="113"/>
    </row>
    <row r="109" spans="1:20" s="3" customFormat="1" ht="13.5" outlineLevel="1" thickBot="1">
      <c r="A109" s="3" t="s">
        <v>36</v>
      </c>
      <c r="B109" s="114">
        <f>+SUM(B106:B108)</f>
        <v>0</v>
      </c>
      <c r="C109" s="114">
        <f>+SUM(C106:C108)</f>
        <v>0</v>
      </c>
      <c r="D109" s="114">
        <f>+SUM(D106:D108)</f>
        <v>0</v>
      </c>
      <c r="E109" s="115"/>
      <c r="F109" s="114">
        <f>+SUM(F106:F108)</f>
        <v>0</v>
      </c>
      <c r="G109" s="114">
        <f>+SUM(G106:G108)</f>
        <v>0</v>
      </c>
      <c r="H109" s="114">
        <f>+SUM(H106:H108)</f>
        <v>0</v>
      </c>
      <c r="I109" s="116"/>
      <c r="J109" s="114">
        <f>+SUM(J106:J108)</f>
        <v>0</v>
      </c>
      <c r="K109" s="114">
        <f>+SUM(K106:K108)</f>
        <v>0</v>
      </c>
      <c r="L109" s="114">
        <f>+SUM(L106:L108)</f>
        <v>0</v>
      </c>
      <c r="M109" s="116"/>
      <c r="N109" s="114">
        <f>+SUM(N106:N108)</f>
        <v>0</v>
      </c>
      <c r="O109" s="114">
        <f>+SUM(O106:O108)</f>
        <v>0</v>
      </c>
      <c r="P109" s="114">
        <f>+SUM(P106:P108)</f>
        <v>0</v>
      </c>
      <c r="Q109" s="116"/>
      <c r="R109" s="114">
        <f>+SUM(R106:R108)</f>
        <v>0</v>
      </c>
      <c r="S109" s="114">
        <f>+SUM(S106:S108)</f>
        <v>0</v>
      </c>
      <c r="T109" s="114">
        <f>+SUM(T106:T108)</f>
        <v>0</v>
      </c>
    </row>
    <row r="110" spans="2:20" ht="12.75" outlineLevel="1"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</row>
    <row r="111" spans="1:20" ht="12.75" outlineLevel="1">
      <c r="A111" t="s">
        <v>30</v>
      </c>
      <c r="B111" s="113">
        <v>0</v>
      </c>
      <c r="C111" s="113">
        <f>+'2012-13'!G$51</f>
        <v>-10</v>
      </c>
      <c r="D111" s="113">
        <f>+C111-B111</f>
        <v>-10</v>
      </c>
      <c r="E111" s="113"/>
      <c r="F111" s="113">
        <v>0</v>
      </c>
      <c r="G111" s="113">
        <f>+'2013-14'!G$51</f>
        <v>-50.075</v>
      </c>
      <c r="H111" s="113">
        <f>+G111-F111</f>
        <v>-50.075</v>
      </c>
      <c r="I111" s="113"/>
      <c r="J111" s="113">
        <v>0</v>
      </c>
      <c r="K111" s="113">
        <f>+'2014-15'!G$51</f>
        <v>0</v>
      </c>
      <c r="L111" s="113">
        <f>+K111-J111</f>
        <v>0</v>
      </c>
      <c r="M111" s="113"/>
      <c r="N111" s="113"/>
      <c r="O111" s="113">
        <f>+'2015-16'!G$51</f>
        <v>0</v>
      </c>
      <c r="P111" s="113"/>
      <c r="Q111" s="113"/>
      <c r="R111" s="113"/>
      <c r="S111" s="113">
        <f>+'2016-17'!G$51</f>
        <v>0</v>
      </c>
      <c r="T111" s="113"/>
    </row>
    <row r="112" spans="1:20" ht="12.75" outlineLevel="1">
      <c r="A112" t="s">
        <v>138</v>
      </c>
      <c r="B112" s="113">
        <v>-315</v>
      </c>
      <c r="C112" s="113">
        <f>+'2012-13'!G$58</f>
        <v>-841</v>
      </c>
      <c r="D112" s="113">
        <f>+C112-B112</f>
        <v>-526</v>
      </c>
      <c r="E112" s="113"/>
      <c r="F112" s="113">
        <v>-265</v>
      </c>
      <c r="G112" s="113">
        <f>+'2013-14'!G$58</f>
        <v>-262.75</v>
      </c>
      <c r="H112" s="113">
        <f>+G112-F112</f>
        <v>2.25</v>
      </c>
      <c r="I112" s="113"/>
      <c r="J112" s="113">
        <v>-220</v>
      </c>
      <c r="K112" s="113">
        <f>+'2014-15'!G$58</f>
        <v>-208.065</v>
      </c>
      <c r="L112" s="113">
        <f>+K112-J112</f>
        <v>11.935000000000002</v>
      </c>
      <c r="M112" s="113"/>
      <c r="N112" s="113"/>
      <c r="O112" s="113">
        <f>+'2015-16'!G$58</f>
        <v>-332.536</v>
      </c>
      <c r="P112" s="113"/>
      <c r="Q112" s="113"/>
      <c r="R112" s="113"/>
      <c r="S112" s="113">
        <f>+'2016-17'!G$58</f>
        <v>-333.27049999999997</v>
      </c>
      <c r="T112" s="113"/>
    </row>
    <row r="113" spans="1:20" ht="12.75" outlineLevel="1">
      <c r="A113" t="s">
        <v>21</v>
      </c>
      <c r="B113" s="113">
        <v>0</v>
      </c>
      <c r="C113" s="113">
        <f>+'2012-13'!G$70</f>
        <v>0</v>
      </c>
      <c r="D113" s="113">
        <f>+C113-B113</f>
        <v>0</v>
      </c>
      <c r="E113" s="113"/>
      <c r="F113" s="113">
        <v>-13</v>
      </c>
      <c r="G113" s="113">
        <f>+'2013-14'!G$70</f>
        <v>-13</v>
      </c>
      <c r="H113" s="113">
        <f>+G113-F113</f>
        <v>0</v>
      </c>
      <c r="I113" s="113"/>
      <c r="J113" s="113">
        <v>-14</v>
      </c>
      <c r="K113" s="113">
        <f>+'2014-15'!G$70</f>
        <v>-14</v>
      </c>
      <c r="L113" s="113">
        <f>+K113-J113</f>
        <v>0</v>
      </c>
      <c r="M113" s="113"/>
      <c r="N113" s="113"/>
      <c r="O113" s="113">
        <f>+'2015-16'!G$70</f>
        <v>0</v>
      </c>
      <c r="P113" s="113"/>
      <c r="Q113" s="113"/>
      <c r="R113" s="113"/>
      <c r="S113" s="113">
        <f>+'2016-17'!G$70</f>
        <v>0</v>
      </c>
      <c r="T113" s="113"/>
    </row>
    <row r="114" spans="1:20" ht="12.75" outlineLevel="1">
      <c r="A114" t="s">
        <v>38</v>
      </c>
      <c r="B114" s="113">
        <v>-88</v>
      </c>
      <c r="C114" s="113">
        <f>+'2012-13'!G$76</f>
        <v>-54</v>
      </c>
      <c r="D114" s="113">
        <f>+C114-B114</f>
        <v>34</v>
      </c>
      <c r="E114" s="113"/>
      <c r="F114" s="113">
        <v>-44</v>
      </c>
      <c r="G114" s="113">
        <f>+'2013-14'!G$76</f>
        <v>-37</v>
      </c>
      <c r="H114" s="113">
        <f>+G114-F114</f>
        <v>7</v>
      </c>
      <c r="I114" s="113"/>
      <c r="J114" s="113">
        <v>-26</v>
      </c>
      <c r="K114" s="113">
        <f>+'2014-15'!G$76</f>
        <v>-69</v>
      </c>
      <c r="L114" s="113">
        <f>+K114-J114</f>
        <v>-43</v>
      </c>
      <c r="M114" s="113"/>
      <c r="N114" s="113"/>
      <c r="O114" s="113">
        <f>+'2015-16'!G$76</f>
        <v>-29</v>
      </c>
      <c r="P114" s="113"/>
      <c r="Q114" s="113"/>
      <c r="R114" s="113"/>
      <c r="S114" s="113">
        <f>+'2016-17'!G$76</f>
        <v>0</v>
      </c>
      <c r="T114" s="113"/>
    </row>
    <row r="115" spans="1:20" s="3" customFormat="1" ht="13.5" outlineLevel="1" thickBot="1">
      <c r="A115" s="3" t="s">
        <v>29</v>
      </c>
      <c r="B115" s="114">
        <f>+SUM(B111:B114)</f>
        <v>-403</v>
      </c>
      <c r="C115" s="114">
        <f>+SUM(C111:C114)</f>
        <v>-905</v>
      </c>
      <c r="D115" s="114">
        <f>+SUM(D111:D114)</f>
        <v>-502</v>
      </c>
      <c r="E115" s="115"/>
      <c r="F115" s="114">
        <f>+SUM(F111:F114)</f>
        <v>-322</v>
      </c>
      <c r="G115" s="114">
        <f>+SUM(G111:G114)</f>
        <v>-362.825</v>
      </c>
      <c r="H115" s="114">
        <f>+SUM(H111:H114)</f>
        <v>-40.825</v>
      </c>
      <c r="I115" s="116"/>
      <c r="J115" s="114">
        <f>+SUM(J111:J114)</f>
        <v>-260</v>
      </c>
      <c r="K115" s="114">
        <f>+SUM(K111:K114)</f>
        <v>-291.065</v>
      </c>
      <c r="L115" s="114">
        <f>+SUM(L111:L114)</f>
        <v>-31.064999999999998</v>
      </c>
      <c r="M115" s="116"/>
      <c r="N115" s="114">
        <f>+SUM(N111:N114)</f>
        <v>0</v>
      </c>
      <c r="O115" s="114">
        <f>+SUM(O111:O114)</f>
        <v>-361.536</v>
      </c>
      <c r="P115" s="114">
        <f>+SUM(P111:P114)</f>
        <v>0</v>
      </c>
      <c r="Q115" s="116"/>
      <c r="R115" s="114">
        <f>+SUM(R111:R114)</f>
        <v>0</v>
      </c>
      <c r="S115" s="114">
        <f>+SUM(S111:S114)</f>
        <v>-333.27049999999997</v>
      </c>
      <c r="T115" s="114">
        <f>+SUM(T111:T114)</f>
        <v>0</v>
      </c>
    </row>
    <row r="116" spans="2:20" ht="12.75" outlineLevel="1"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</row>
    <row r="117" spans="1:20" ht="12.75" outlineLevel="1">
      <c r="A117" t="s">
        <v>194</v>
      </c>
      <c r="B117" s="113">
        <v>-69.74</v>
      </c>
      <c r="C117" s="113">
        <f>+'2012-13'!G$89</f>
        <v>-46.5</v>
      </c>
      <c r="D117" s="113">
        <f>+C117-B117</f>
        <v>23.239999999999995</v>
      </c>
      <c r="E117" s="113"/>
      <c r="F117" s="113">
        <v>-65.5</v>
      </c>
      <c r="G117" s="113">
        <f>+'2013-14'!G$89</f>
        <v>-101</v>
      </c>
      <c r="H117" s="113">
        <f>+G117-F117</f>
        <v>-35.5</v>
      </c>
      <c r="I117" s="113"/>
      <c r="J117" s="113">
        <v>-54.7</v>
      </c>
      <c r="K117" s="113">
        <f>+'2014-15'!G$89</f>
        <v>-39.3</v>
      </c>
      <c r="L117" s="113">
        <f>+K117-J117</f>
        <v>15.400000000000006</v>
      </c>
      <c r="M117" s="113"/>
      <c r="N117" s="113"/>
      <c r="O117" s="113">
        <f>+'2015-16'!G$89</f>
        <v>-39.5</v>
      </c>
      <c r="P117" s="113"/>
      <c r="Q117" s="113"/>
      <c r="R117" s="113"/>
      <c r="S117" s="113">
        <f>+'2016-17'!G$89</f>
        <v>-28.5</v>
      </c>
      <c r="T117" s="113"/>
    </row>
    <row r="118" spans="1:20" ht="12.75" outlineLevel="1">
      <c r="A118" t="s">
        <v>14</v>
      </c>
      <c r="B118" s="113">
        <v>0</v>
      </c>
      <c r="C118" s="113">
        <f>+'2012-13'!G$95</f>
        <v>0</v>
      </c>
      <c r="D118" s="113">
        <f>+C118-B118</f>
        <v>0</v>
      </c>
      <c r="E118" s="113"/>
      <c r="F118" s="113">
        <v>0</v>
      </c>
      <c r="G118" s="113">
        <f>+'2013-14'!G$95</f>
        <v>-20</v>
      </c>
      <c r="H118" s="113">
        <f>+G118-F118</f>
        <v>-20</v>
      </c>
      <c r="I118" s="113"/>
      <c r="J118" s="113">
        <v>-80</v>
      </c>
      <c r="K118" s="113">
        <f>+'2014-15'!G$95</f>
        <v>-20</v>
      </c>
      <c r="L118" s="113">
        <f>+K118-J118</f>
        <v>60</v>
      </c>
      <c r="M118" s="113"/>
      <c r="N118" s="113"/>
      <c r="O118" s="113">
        <f>+'2015-16'!G$95</f>
        <v>-18.463</v>
      </c>
      <c r="P118" s="113"/>
      <c r="Q118" s="113"/>
      <c r="R118" s="113"/>
      <c r="S118" s="113">
        <f>+'2016-17'!G$95</f>
        <v>-17.974</v>
      </c>
      <c r="T118" s="113"/>
    </row>
    <row r="119" spans="1:20" ht="12.75" outlineLevel="1">
      <c r="A119" t="s">
        <v>193</v>
      </c>
      <c r="B119" s="113">
        <v>-25</v>
      </c>
      <c r="C119" s="113">
        <f>+'2012-13'!G$103</f>
        <v>-5</v>
      </c>
      <c r="D119" s="113">
        <f>+C119-B119</f>
        <v>20</v>
      </c>
      <c r="E119" s="113"/>
      <c r="F119" s="113">
        <v>-25</v>
      </c>
      <c r="G119" s="113">
        <f>+'2013-14'!G$103</f>
        <v>-5</v>
      </c>
      <c r="H119" s="113">
        <f>+G119-F119</f>
        <v>20</v>
      </c>
      <c r="I119" s="113"/>
      <c r="J119" s="113">
        <v>-25</v>
      </c>
      <c r="K119" s="113">
        <f>+'2014-15'!G$103</f>
        <v>-5</v>
      </c>
      <c r="L119" s="113">
        <f>+K119-J119</f>
        <v>20</v>
      </c>
      <c r="M119" s="113"/>
      <c r="N119" s="113"/>
      <c r="O119" s="113">
        <f>+'2015-16'!G$103</f>
        <v>-5</v>
      </c>
      <c r="P119" s="113"/>
      <c r="Q119" s="113"/>
      <c r="R119" s="113"/>
      <c r="S119" s="113">
        <f>+'2016-17'!G$103</f>
        <v>-5</v>
      </c>
      <c r="T119" s="113"/>
    </row>
    <row r="120" spans="1:20" s="3" customFormat="1" ht="13.5" outlineLevel="1" thickBot="1">
      <c r="A120" s="3" t="s">
        <v>39</v>
      </c>
      <c r="B120" s="114">
        <f>+SUM(B117:B119)</f>
        <v>-94.74</v>
      </c>
      <c r="C120" s="114">
        <f>+SUM(C117:C119)</f>
        <v>-51.5</v>
      </c>
      <c r="D120" s="114">
        <f>+SUM(D117:D119)</f>
        <v>43.239999999999995</v>
      </c>
      <c r="E120" s="115"/>
      <c r="F120" s="114">
        <f>+SUM(F117:F119)</f>
        <v>-90.5</v>
      </c>
      <c r="G120" s="114">
        <f>+SUM(G117:G119)</f>
        <v>-126</v>
      </c>
      <c r="H120" s="114">
        <f>+SUM(H117:H119)</f>
        <v>-35.5</v>
      </c>
      <c r="I120" s="116"/>
      <c r="J120" s="114">
        <f>+SUM(J117:J119)</f>
        <v>-159.7</v>
      </c>
      <c r="K120" s="114">
        <f>+SUM(K117:K119)</f>
        <v>-64.3</v>
      </c>
      <c r="L120" s="114">
        <f>+SUM(L117:L119)</f>
        <v>95.4</v>
      </c>
      <c r="M120" s="116"/>
      <c r="N120" s="114">
        <f>+SUM(N117:N119)</f>
        <v>0</v>
      </c>
      <c r="O120" s="114">
        <f>+SUM(O117:O119)</f>
        <v>-62.963</v>
      </c>
      <c r="P120" s="114">
        <f>+SUM(P117:P119)</f>
        <v>0</v>
      </c>
      <c r="Q120" s="116"/>
      <c r="R120" s="114">
        <f>+SUM(R117:R119)</f>
        <v>0</v>
      </c>
      <c r="S120" s="114">
        <f>+SUM(S117:S119)</f>
        <v>-51.474000000000004</v>
      </c>
      <c r="T120" s="114">
        <f>+SUM(T117:T119)</f>
        <v>0</v>
      </c>
    </row>
    <row r="121" spans="2:20" ht="12.75" outlineLevel="1"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</row>
    <row r="122" spans="1:20" s="112" customFormat="1" ht="17.25" thickBot="1">
      <c r="A122" s="123" t="s">
        <v>200</v>
      </c>
      <c r="B122" s="124">
        <f>+B120+B115+B109+B104</f>
        <v>-527.74</v>
      </c>
      <c r="C122" s="124">
        <f>+C120+C115+C109+C104</f>
        <v>-1197.5</v>
      </c>
      <c r="D122" s="124">
        <f>+D120+D115+D109+D104</f>
        <v>-669.76</v>
      </c>
      <c r="E122" s="117"/>
      <c r="F122" s="124">
        <f>+F120+F115+F109+F104</f>
        <v>-529.5</v>
      </c>
      <c r="G122" s="124">
        <f>+G120+G115+G109+G104</f>
        <v>-655.825</v>
      </c>
      <c r="H122" s="124">
        <f>+H120+H115+H109+H104</f>
        <v>-126.325</v>
      </c>
      <c r="I122" s="118"/>
      <c r="J122" s="124">
        <f>+J120+J115+J109+J104</f>
        <v>-436.7</v>
      </c>
      <c r="K122" s="124">
        <f>+K120+K115+K109+K104</f>
        <v>-272.365</v>
      </c>
      <c r="L122" s="124">
        <f>+L120+L115+L109+L104</f>
        <v>164.335</v>
      </c>
      <c r="M122" s="118"/>
      <c r="N122" s="124">
        <f>+N120+N115+N109+N104</f>
        <v>0</v>
      </c>
      <c r="O122" s="124">
        <f>+O120+O115+O109+O104</f>
        <v>-555.0360000000001</v>
      </c>
      <c r="P122" s="124">
        <f>+P120+P115+P109+P104</f>
        <v>0</v>
      </c>
      <c r="Q122" s="118"/>
      <c r="R122" s="124">
        <f>+R120+R115+R109+R104</f>
        <v>0</v>
      </c>
      <c r="S122" s="124">
        <f>+S120+S115+S109+S104</f>
        <v>-390.95149999999995</v>
      </c>
      <c r="T122" s="124">
        <f>+T120+T115+T109+T104</f>
        <v>0</v>
      </c>
    </row>
    <row r="123" spans="2:20" ht="12.75"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</row>
    <row r="124" spans="1:20" ht="15" outlineLevel="1">
      <c r="A124" s="109" t="s">
        <v>5</v>
      </c>
      <c r="B124" s="113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</row>
    <row r="125" spans="1:20" ht="12.75" outlineLevel="1">
      <c r="A125" t="s">
        <v>25</v>
      </c>
      <c r="B125" s="113">
        <v>-167</v>
      </c>
      <c r="C125" s="113">
        <f>+'2012-13'!H$6</f>
        <v>-16</v>
      </c>
      <c r="D125" s="113">
        <f>+C125-B125</f>
        <v>151</v>
      </c>
      <c r="E125" s="113"/>
      <c r="F125" s="113">
        <v>-76</v>
      </c>
      <c r="G125" s="113">
        <f>+'2013-14'!H$6</f>
        <v>-66</v>
      </c>
      <c r="H125" s="113">
        <f>+G125-F125</f>
        <v>10</v>
      </c>
      <c r="I125" s="113"/>
      <c r="J125" s="113">
        <v>-13</v>
      </c>
      <c r="K125" s="113">
        <f>+'2014-15'!H$6</f>
        <v>-113</v>
      </c>
      <c r="L125" s="113">
        <f>+K125-J125</f>
        <v>-100</v>
      </c>
      <c r="M125" s="113"/>
      <c r="N125" s="113"/>
      <c r="O125" s="113">
        <f>+'2015-16'!H$6</f>
        <v>-86</v>
      </c>
      <c r="P125" s="113"/>
      <c r="Q125" s="113"/>
      <c r="R125" s="113"/>
      <c r="S125" s="113">
        <f>+'2016-17'!H$6</f>
        <v>-10</v>
      </c>
      <c r="T125" s="113"/>
    </row>
    <row r="126" spans="1:20" ht="12.75" outlineLevel="1">
      <c r="A126" t="s">
        <v>35</v>
      </c>
      <c r="B126" s="113">
        <v>0</v>
      </c>
      <c r="C126" s="113">
        <f>+'2012-13'!H$13</f>
        <v>0</v>
      </c>
      <c r="D126" s="113">
        <f>+C126-B126</f>
        <v>0</v>
      </c>
      <c r="E126" s="113"/>
      <c r="F126" s="113">
        <v>0</v>
      </c>
      <c r="G126" s="113">
        <f>+'2013-14'!H$13</f>
        <v>0</v>
      </c>
      <c r="H126" s="113">
        <f>+G126-F126</f>
        <v>0</v>
      </c>
      <c r="I126" s="113"/>
      <c r="J126" s="113">
        <v>0</v>
      </c>
      <c r="K126" s="113">
        <f>+'2014-15'!H$13</f>
        <v>0</v>
      </c>
      <c r="L126" s="113">
        <f>+K126-J126</f>
        <v>0</v>
      </c>
      <c r="M126" s="113"/>
      <c r="N126" s="113"/>
      <c r="O126" s="113">
        <f>+'2015-16'!H$13</f>
        <v>0</v>
      </c>
      <c r="P126" s="113"/>
      <c r="Q126" s="113"/>
      <c r="R126" s="113"/>
      <c r="S126" s="113">
        <f>+'2016-17'!H$13</f>
        <v>0</v>
      </c>
      <c r="T126" s="113"/>
    </row>
    <row r="127" spans="1:20" ht="12.75" outlineLevel="1">
      <c r="A127" t="s">
        <v>191</v>
      </c>
      <c r="B127" s="113">
        <v>-24</v>
      </c>
      <c r="C127" s="113">
        <f>+'2012-13'!H$19</f>
        <v>-16</v>
      </c>
      <c r="D127" s="113">
        <f>+C127-B127</f>
        <v>8</v>
      </c>
      <c r="E127" s="113"/>
      <c r="F127" s="113">
        <v>0</v>
      </c>
      <c r="G127" s="113">
        <f>+'2013-14'!H$19</f>
        <v>-40</v>
      </c>
      <c r="H127" s="113">
        <f>+G127-F127</f>
        <v>-40</v>
      </c>
      <c r="I127" s="113"/>
      <c r="J127" s="113">
        <v>-54</v>
      </c>
      <c r="K127" s="113">
        <f>+'2014-15'!H$19</f>
        <v>-43</v>
      </c>
      <c r="L127" s="113">
        <f>+K127-J127</f>
        <v>11</v>
      </c>
      <c r="M127" s="113"/>
      <c r="N127" s="113"/>
      <c r="O127" s="113">
        <f>+'2015-16'!H$19</f>
        <v>-19.487</v>
      </c>
      <c r="P127" s="113"/>
      <c r="Q127" s="113"/>
      <c r="R127" s="113"/>
      <c r="S127" s="113">
        <f>+'2016-17'!H$19</f>
        <v>-50</v>
      </c>
      <c r="T127" s="113"/>
    </row>
    <row r="128" spans="1:20" s="3" customFormat="1" ht="13.5" outlineLevel="1" thickBot="1">
      <c r="A128" s="3" t="s">
        <v>24</v>
      </c>
      <c r="B128" s="114">
        <f>+SUM(B125:B127)</f>
        <v>-191</v>
      </c>
      <c r="C128" s="114">
        <f>+SUM(C125:C127)</f>
        <v>-32</v>
      </c>
      <c r="D128" s="114">
        <f>+SUM(D125:D127)</f>
        <v>159</v>
      </c>
      <c r="E128" s="115"/>
      <c r="F128" s="114">
        <f>+SUM(F125:F127)</f>
        <v>-76</v>
      </c>
      <c r="G128" s="114">
        <f>+SUM(G125:G127)</f>
        <v>-106</v>
      </c>
      <c r="H128" s="114">
        <f>+SUM(H125:H127)</f>
        <v>-30</v>
      </c>
      <c r="I128" s="116"/>
      <c r="J128" s="114">
        <f>+SUM(J125:J127)</f>
        <v>-67</v>
      </c>
      <c r="K128" s="114">
        <f>+SUM(K125:K127)</f>
        <v>-156</v>
      </c>
      <c r="L128" s="114">
        <f>+SUM(L125:L127)</f>
        <v>-89</v>
      </c>
      <c r="M128" s="116"/>
      <c r="N128" s="114">
        <f>+SUM(N125:N127)</f>
        <v>0</v>
      </c>
      <c r="O128" s="114">
        <f>+SUM(O125:O127)</f>
        <v>-105.487</v>
      </c>
      <c r="P128" s="114">
        <f>+SUM(P125:P127)</f>
        <v>0</v>
      </c>
      <c r="Q128" s="116"/>
      <c r="R128" s="114">
        <f>+SUM(R125:R127)</f>
        <v>0</v>
      </c>
      <c r="S128" s="114">
        <f>+SUM(S125:S127)</f>
        <v>-60</v>
      </c>
      <c r="T128" s="114">
        <f>+SUM(T125:T127)</f>
        <v>0</v>
      </c>
    </row>
    <row r="129" spans="2:20" ht="12.75" outlineLevel="1">
      <c r="B129" s="113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</row>
    <row r="130" spans="1:20" ht="12.75" outlineLevel="1">
      <c r="A130" t="s">
        <v>7</v>
      </c>
      <c r="B130" s="113">
        <v>-85.1</v>
      </c>
      <c r="C130" s="113">
        <f>+'2012-13'!H$29</f>
        <v>-72</v>
      </c>
      <c r="D130" s="113">
        <f>+C130-B130</f>
        <v>13.099999999999994</v>
      </c>
      <c r="E130" s="113"/>
      <c r="F130" s="113">
        <v>-12.1</v>
      </c>
      <c r="G130" s="113">
        <f>+'2013-14'!H$29</f>
        <v>-20</v>
      </c>
      <c r="H130" s="113">
        <f>+G130-F130</f>
        <v>-7.9</v>
      </c>
      <c r="I130" s="113"/>
      <c r="J130" s="113">
        <v>-13.4</v>
      </c>
      <c r="K130" s="113">
        <f>+'2014-15'!H$29</f>
        <v>0</v>
      </c>
      <c r="L130" s="113">
        <f>+K130-J130</f>
        <v>13.4</v>
      </c>
      <c r="M130" s="113"/>
      <c r="N130" s="113"/>
      <c r="O130" s="113">
        <f>+'2015-16'!H$29</f>
        <v>0</v>
      </c>
      <c r="P130" s="113"/>
      <c r="Q130" s="113"/>
      <c r="R130" s="113"/>
      <c r="S130" s="113">
        <f>+'2016-17'!H$29</f>
        <v>0</v>
      </c>
      <c r="T130" s="113"/>
    </row>
    <row r="131" spans="1:20" ht="12.75" outlineLevel="1">
      <c r="A131" t="s">
        <v>192</v>
      </c>
      <c r="B131" s="113">
        <v>0</v>
      </c>
      <c r="C131" s="113">
        <f>+'2012-13'!H$37</f>
        <v>0</v>
      </c>
      <c r="D131" s="113">
        <f>+C131-B131</f>
        <v>0</v>
      </c>
      <c r="E131" s="113"/>
      <c r="F131" s="113">
        <v>0</v>
      </c>
      <c r="G131" s="113">
        <f>+'2013-14'!H$37</f>
        <v>0</v>
      </c>
      <c r="H131" s="113">
        <f>+G131-F131</f>
        <v>0</v>
      </c>
      <c r="I131" s="113"/>
      <c r="J131" s="113">
        <v>0</v>
      </c>
      <c r="K131" s="113">
        <f>+'2014-15'!H$37</f>
        <v>0</v>
      </c>
      <c r="L131" s="113">
        <f>+K131-J131</f>
        <v>0</v>
      </c>
      <c r="M131" s="113"/>
      <c r="N131" s="113"/>
      <c r="O131" s="113">
        <f>+'2015-16'!H$37</f>
        <v>0</v>
      </c>
      <c r="P131" s="113"/>
      <c r="Q131" s="113"/>
      <c r="R131" s="113"/>
      <c r="S131" s="113">
        <f>+'2016-17'!H$37</f>
        <v>0</v>
      </c>
      <c r="T131" s="113"/>
    </row>
    <row r="132" spans="1:20" ht="12.75" outlineLevel="1">
      <c r="A132" t="s">
        <v>148</v>
      </c>
      <c r="B132" s="113">
        <v>0</v>
      </c>
      <c r="C132" s="113">
        <f>+'2012-13'!H$42</f>
        <v>0</v>
      </c>
      <c r="D132" s="113">
        <f>+C132-B132</f>
        <v>0</v>
      </c>
      <c r="E132" s="113"/>
      <c r="F132" s="113">
        <v>0</v>
      </c>
      <c r="G132" s="113">
        <f>+'2013-14'!H$42</f>
        <v>0</v>
      </c>
      <c r="H132" s="113">
        <f>+G132-F132</f>
        <v>0</v>
      </c>
      <c r="I132" s="113"/>
      <c r="J132" s="113">
        <v>0</v>
      </c>
      <c r="K132" s="113">
        <f>+'2014-15'!H$42</f>
        <v>0</v>
      </c>
      <c r="L132" s="113">
        <f>+K132-J132</f>
        <v>0</v>
      </c>
      <c r="M132" s="113"/>
      <c r="N132" s="113"/>
      <c r="O132" s="113">
        <f>+'2015-16'!H$42</f>
        <v>-28.9</v>
      </c>
      <c r="P132" s="113"/>
      <c r="Q132" s="113"/>
      <c r="R132" s="113"/>
      <c r="S132" s="113">
        <f>+'2016-17'!H$42</f>
        <v>0</v>
      </c>
      <c r="T132" s="113"/>
    </row>
    <row r="133" spans="1:20" s="3" customFormat="1" ht="13.5" outlineLevel="1" thickBot="1">
      <c r="A133" s="3" t="s">
        <v>36</v>
      </c>
      <c r="B133" s="114">
        <f>+SUM(B130:B132)</f>
        <v>-85.1</v>
      </c>
      <c r="C133" s="114">
        <f>+SUM(C130:C132)</f>
        <v>-72</v>
      </c>
      <c r="D133" s="114">
        <f>+SUM(D130:D132)</f>
        <v>13.099999999999994</v>
      </c>
      <c r="E133" s="115"/>
      <c r="F133" s="114">
        <f>+SUM(F130:F132)</f>
        <v>-12.1</v>
      </c>
      <c r="G133" s="114">
        <f>+SUM(G130:G132)</f>
        <v>-20</v>
      </c>
      <c r="H133" s="114">
        <f>+SUM(H130:H132)</f>
        <v>-7.9</v>
      </c>
      <c r="I133" s="116"/>
      <c r="J133" s="114">
        <f>+SUM(J130:J132)</f>
        <v>-13.4</v>
      </c>
      <c r="K133" s="114">
        <f>+SUM(K130:K132)</f>
        <v>0</v>
      </c>
      <c r="L133" s="114">
        <f>+SUM(L130:L132)</f>
        <v>13.4</v>
      </c>
      <c r="M133" s="116"/>
      <c r="N133" s="114">
        <f>+SUM(N130:N132)</f>
        <v>0</v>
      </c>
      <c r="O133" s="114">
        <f>+SUM(O130:O132)</f>
        <v>-28.9</v>
      </c>
      <c r="P133" s="114">
        <f>+SUM(P130:P132)</f>
        <v>0</v>
      </c>
      <c r="Q133" s="116"/>
      <c r="R133" s="114">
        <f>+SUM(R130:R132)</f>
        <v>0</v>
      </c>
      <c r="S133" s="114">
        <f>+SUM(S130:S132)</f>
        <v>0</v>
      </c>
      <c r="T133" s="114">
        <f>+SUM(T130:T132)</f>
        <v>0</v>
      </c>
    </row>
    <row r="134" spans="2:20" ht="12.75" outlineLevel="1">
      <c r="B134" s="11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</row>
    <row r="135" spans="1:20" ht="12.75" outlineLevel="1">
      <c r="A135" t="s">
        <v>30</v>
      </c>
      <c r="B135" s="113">
        <v>-66</v>
      </c>
      <c r="C135" s="113">
        <f>+'2012-13'!H$51</f>
        <v>-98</v>
      </c>
      <c r="D135" s="113">
        <f>+C135-B135</f>
        <v>-32</v>
      </c>
      <c r="E135" s="113"/>
      <c r="F135" s="113">
        <v>-86</v>
      </c>
      <c r="G135" s="113">
        <f>+'2013-14'!H$51</f>
        <v>-54</v>
      </c>
      <c r="H135" s="113">
        <f>+G135-F135</f>
        <v>32</v>
      </c>
      <c r="I135" s="113"/>
      <c r="J135" s="113">
        <v>-54</v>
      </c>
      <c r="K135" s="113">
        <f>+'2014-15'!H$51</f>
        <v>-54</v>
      </c>
      <c r="L135" s="113">
        <f>+K135-J135</f>
        <v>0</v>
      </c>
      <c r="M135" s="113"/>
      <c r="N135" s="113"/>
      <c r="O135" s="113">
        <f>+'2015-16'!H$51</f>
        <v>0</v>
      </c>
      <c r="P135" s="113"/>
      <c r="Q135" s="113"/>
      <c r="R135" s="113"/>
      <c r="S135" s="113">
        <f>+'2016-17'!H$51</f>
        <v>0</v>
      </c>
      <c r="T135" s="113"/>
    </row>
    <row r="136" spans="1:20" ht="12.75" outlineLevel="1">
      <c r="A136" t="s">
        <v>138</v>
      </c>
      <c r="B136" s="113">
        <v>0</v>
      </c>
      <c r="C136" s="113">
        <f>+'2012-13'!H$58</f>
        <v>0</v>
      </c>
      <c r="D136" s="113">
        <f>+C136-B136</f>
        <v>0</v>
      </c>
      <c r="E136" s="113"/>
      <c r="F136" s="113">
        <v>0</v>
      </c>
      <c r="G136" s="113">
        <f>+'2013-14'!H$58</f>
        <v>0</v>
      </c>
      <c r="H136" s="113">
        <f>+G136-F136</f>
        <v>0</v>
      </c>
      <c r="I136" s="113"/>
      <c r="J136" s="113">
        <v>0</v>
      </c>
      <c r="K136" s="113">
        <f>+'2014-15'!H$58</f>
        <v>0</v>
      </c>
      <c r="L136" s="113">
        <f>+K136-J136</f>
        <v>0</v>
      </c>
      <c r="M136" s="113"/>
      <c r="N136" s="113"/>
      <c r="O136" s="113">
        <f>+'2015-16'!H$58</f>
        <v>0</v>
      </c>
      <c r="P136" s="113"/>
      <c r="Q136" s="113"/>
      <c r="R136" s="113"/>
      <c r="S136" s="113">
        <f>+'2016-17'!H$58</f>
        <v>0</v>
      </c>
      <c r="T136" s="113"/>
    </row>
    <row r="137" spans="1:20" ht="12.75" outlineLevel="1">
      <c r="A137" t="s">
        <v>21</v>
      </c>
      <c r="B137" s="113">
        <v>0</v>
      </c>
      <c r="C137" s="113">
        <f>+'2012-13'!H$70</f>
        <v>0</v>
      </c>
      <c r="D137" s="113">
        <f>+C137-B137</f>
        <v>0</v>
      </c>
      <c r="E137" s="113"/>
      <c r="F137" s="113">
        <v>0</v>
      </c>
      <c r="G137" s="113">
        <f>+'2013-14'!H$70</f>
        <v>0</v>
      </c>
      <c r="H137" s="113">
        <f>+G137-F137</f>
        <v>0</v>
      </c>
      <c r="I137" s="113"/>
      <c r="J137" s="113">
        <v>0</v>
      </c>
      <c r="K137" s="113">
        <f>+'2014-15'!H$70</f>
        <v>0</v>
      </c>
      <c r="L137" s="113">
        <f>+K137-J137</f>
        <v>0</v>
      </c>
      <c r="M137" s="113"/>
      <c r="N137" s="113"/>
      <c r="O137" s="113">
        <f>+'2015-16'!H$70</f>
        <v>0</v>
      </c>
      <c r="P137" s="113"/>
      <c r="Q137" s="113"/>
      <c r="R137" s="113"/>
      <c r="S137" s="113">
        <f>+'2016-17'!H$70</f>
        <v>0</v>
      </c>
      <c r="T137" s="113"/>
    </row>
    <row r="138" spans="1:20" ht="12.75" outlineLevel="1">
      <c r="A138" t="s">
        <v>38</v>
      </c>
      <c r="B138" s="113">
        <v>-15</v>
      </c>
      <c r="C138" s="113">
        <f>+'2012-13'!H$76</f>
        <v>-35</v>
      </c>
      <c r="D138" s="113">
        <f>+C138-B138</f>
        <v>-20</v>
      </c>
      <c r="E138" s="113"/>
      <c r="F138" s="113">
        <v>-35</v>
      </c>
      <c r="G138" s="113">
        <f>+'2013-14'!H$76</f>
        <v>-35</v>
      </c>
      <c r="H138" s="113">
        <f>+G138-F138</f>
        <v>0</v>
      </c>
      <c r="I138" s="113"/>
      <c r="J138" s="113">
        <v>0</v>
      </c>
      <c r="K138" s="113">
        <f>+'2014-15'!H$76</f>
        <v>0</v>
      </c>
      <c r="L138" s="113">
        <f>+K138-J138</f>
        <v>0</v>
      </c>
      <c r="M138" s="113"/>
      <c r="N138" s="113"/>
      <c r="O138" s="113">
        <f>+'2015-16'!H$76</f>
        <v>0</v>
      </c>
      <c r="P138" s="113"/>
      <c r="Q138" s="113"/>
      <c r="R138" s="113"/>
      <c r="S138" s="113">
        <f>+'2016-17'!H$76</f>
        <v>0</v>
      </c>
      <c r="T138" s="113"/>
    </row>
    <row r="139" spans="1:20" s="3" customFormat="1" ht="13.5" outlineLevel="1" thickBot="1">
      <c r="A139" s="3" t="s">
        <v>29</v>
      </c>
      <c r="B139" s="114">
        <f>+SUM(B135:B138)</f>
        <v>-81</v>
      </c>
      <c r="C139" s="114">
        <f>+SUM(C135:C138)</f>
        <v>-133</v>
      </c>
      <c r="D139" s="114">
        <f>+SUM(D135:D138)</f>
        <v>-52</v>
      </c>
      <c r="E139" s="115"/>
      <c r="F139" s="114">
        <f>+SUM(F135:F138)</f>
        <v>-121</v>
      </c>
      <c r="G139" s="114">
        <f>+SUM(G135:G138)</f>
        <v>-89</v>
      </c>
      <c r="H139" s="114">
        <f>+SUM(H135:H138)</f>
        <v>32</v>
      </c>
      <c r="I139" s="116"/>
      <c r="J139" s="114">
        <f>+SUM(J135:J138)</f>
        <v>-54</v>
      </c>
      <c r="K139" s="114">
        <f>+SUM(K135:K138)</f>
        <v>-54</v>
      </c>
      <c r="L139" s="114">
        <f>+SUM(L135:L138)</f>
        <v>0</v>
      </c>
      <c r="M139" s="116"/>
      <c r="N139" s="114">
        <f>+SUM(N135:N138)</f>
        <v>0</v>
      </c>
      <c r="O139" s="114">
        <f>+SUM(O135:O138)</f>
        <v>0</v>
      </c>
      <c r="P139" s="114">
        <f>+SUM(P135:P138)</f>
        <v>0</v>
      </c>
      <c r="Q139" s="116"/>
      <c r="R139" s="114">
        <f>+SUM(R135:R138)</f>
        <v>0</v>
      </c>
      <c r="S139" s="114">
        <f>+SUM(S135:S138)</f>
        <v>0</v>
      </c>
      <c r="T139" s="114">
        <f>+SUM(T135:T138)</f>
        <v>0</v>
      </c>
    </row>
    <row r="140" spans="2:20" ht="12.75" outlineLevel="1">
      <c r="B140" s="113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</row>
    <row r="141" spans="1:20" ht="12.75" outlineLevel="1">
      <c r="A141" t="s">
        <v>194</v>
      </c>
      <c r="B141" s="113">
        <v>0</v>
      </c>
      <c r="C141" s="113">
        <f>+'2012-13'!H$89</f>
        <v>0</v>
      </c>
      <c r="D141" s="113">
        <f>+C141-B141</f>
        <v>0</v>
      </c>
      <c r="E141" s="113"/>
      <c r="F141" s="113">
        <v>-34.6</v>
      </c>
      <c r="G141" s="113">
        <f>+'2013-14'!H$89</f>
        <v>0</v>
      </c>
      <c r="H141" s="113">
        <f>+G141-F141</f>
        <v>34.6</v>
      </c>
      <c r="I141" s="113"/>
      <c r="J141" s="113">
        <v>0</v>
      </c>
      <c r="K141" s="113">
        <f>+'2014-15'!H$89</f>
        <v>0</v>
      </c>
      <c r="L141" s="113">
        <f>+K141-J141</f>
        <v>0</v>
      </c>
      <c r="M141" s="113"/>
      <c r="N141" s="113"/>
      <c r="O141" s="113">
        <f>+'2015-16'!H$89</f>
        <v>-17</v>
      </c>
      <c r="P141" s="113"/>
      <c r="Q141" s="113"/>
      <c r="R141" s="113"/>
      <c r="S141" s="113">
        <f>+'2016-17'!H$89</f>
        <v>0</v>
      </c>
      <c r="T141" s="113"/>
    </row>
    <row r="142" spans="1:20" ht="12.75" outlineLevel="1">
      <c r="A142" t="s">
        <v>14</v>
      </c>
      <c r="B142" s="113">
        <v>0</v>
      </c>
      <c r="C142" s="113">
        <f>+'2012-13'!H$95</f>
        <v>0</v>
      </c>
      <c r="D142" s="113">
        <f>+C142-B142</f>
        <v>0</v>
      </c>
      <c r="E142" s="113"/>
      <c r="F142" s="113">
        <v>0</v>
      </c>
      <c r="G142" s="113">
        <f>+'2013-14'!H$95</f>
        <v>-26</v>
      </c>
      <c r="H142" s="113">
        <f>+G142-F142</f>
        <v>-26</v>
      </c>
      <c r="I142" s="113"/>
      <c r="J142" s="113">
        <v>0</v>
      </c>
      <c r="K142" s="113">
        <f>+'2014-15'!H$95</f>
        <v>0</v>
      </c>
      <c r="L142" s="113">
        <f>+K142-J142</f>
        <v>0</v>
      </c>
      <c r="M142" s="113"/>
      <c r="N142" s="113"/>
      <c r="O142" s="113">
        <f>+'2015-16'!H$95</f>
        <v>0</v>
      </c>
      <c r="P142" s="113"/>
      <c r="Q142" s="113"/>
      <c r="R142" s="113"/>
      <c r="S142" s="113">
        <f>+'2016-17'!H$95</f>
        <v>0</v>
      </c>
      <c r="T142" s="113"/>
    </row>
    <row r="143" spans="1:20" ht="12.75" outlineLevel="1">
      <c r="A143" t="s">
        <v>193</v>
      </c>
      <c r="B143" s="113">
        <v>-35.7</v>
      </c>
      <c r="C143" s="113">
        <f>+'2012-13'!H$103</f>
        <v>-53.2</v>
      </c>
      <c r="D143" s="113">
        <f>+C143-B143</f>
        <v>-17.5</v>
      </c>
      <c r="E143" s="113"/>
      <c r="F143" s="113">
        <v>-28</v>
      </c>
      <c r="G143" s="113">
        <f>+'2013-14'!H$103</f>
        <v>0</v>
      </c>
      <c r="H143" s="113">
        <f>+G143-F143</f>
        <v>28</v>
      </c>
      <c r="I143" s="113"/>
      <c r="J143" s="113">
        <v>0</v>
      </c>
      <c r="K143" s="113">
        <f>+'2014-15'!H$103</f>
        <v>0</v>
      </c>
      <c r="L143" s="113">
        <f>+K143-J143</f>
        <v>0</v>
      </c>
      <c r="M143" s="113"/>
      <c r="N143" s="113"/>
      <c r="O143" s="113">
        <f>+'2015-16'!H$103</f>
        <v>-28</v>
      </c>
      <c r="P143" s="113"/>
      <c r="Q143" s="113"/>
      <c r="R143" s="113"/>
      <c r="S143" s="113">
        <f>+'2016-17'!H$103</f>
        <v>0</v>
      </c>
      <c r="T143" s="113"/>
    </row>
    <row r="144" spans="1:20" s="3" customFormat="1" ht="13.5" outlineLevel="1" thickBot="1">
      <c r="A144" s="3" t="s">
        <v>39</v>
      </c>
      <c r="B144" s="114">
        <f>+SUM(B141:B143)</f>
        <v>-35.7</v>
      </c>
      <c r="C144" s="114">
        <f>+SUM(C141:C143)</f>
        <v>-53.2</v>
      </c>
      <c r="D144" s="114">
        <f>+SUM(D141:D143)</f>
        <v>-17.5</v>
      </c>
      <c r="E144" s="115"/>
      <c r="F144" s="114">
        <f>+SUM(F141:F143)</f>
        <v>-62.6</v>
      </c>
      <c r="G144" s="114">
        <f>+SUM(G141:G143)</f>
        <v>-26</v>
      </c>
      <c r="H144" s="114">
        <f>+SUM(H141:H143)</f>
        <v>36.6</v>
      </c>
      <c r="I144" s="116"/>
      <c r="J144" s="114">
        <f>+SUM(J141:J143)</f>
        <v>0</v>
      </c>
      <c r="K144" s="114">
        <f>+SUM(K141:K143)</f>
        <v>0</v>
      </c>
      <c r="L144" s="114">
        <f>+SUM(L141:L143)</f>
        <v>0</v>
      </c>
      <c r="M144" s="116"/>
      <c r="N144" s="114">
        <f>+SUM(N141:N143)</f>
        <v>0</v>
      </c>
      <c r="O144" s="114">
        <f>+SUM(O141:O143)</f>
        <v>-45</v>
      </c>
      <c r="P144" s="114">
        <f>+SUM(P141:P143)</f>
        <v>0</v>
      </c>
      <c r="Q144" s="116"/>
      <c r="R144" s="114">
        <f>+SUM(R141:R143)</f>
        <v>0</v>
      </c>
      <c r="S144" s="114">
        <f>+SUM(S141:S143)</f>
        <v>0</v>
      </c>
      <c r="T144" s="114">
        <f>+SUM(T141:T143)</f>
        <v>0</v>
      </c>
    </row>
    <row r="145" spans="2:20" ht="12.75" outlineLevel="1">
      <c r="B145" s="113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</row>
    <row r="146" spans="1:20" s="112" customFormat="1" ht="17.25" thickBot="1">
      <c r="A146" s="123" t="s">
        <v>201</v>
      </c>
      <c r="B146" s="124">
        <f>+B144+B139+B133+B128</f>
        <v>-392.8</v>
      </c>
      <c r="C146" s="124">
        <f>+C144+C139+C133+C128</f>
        <v>-290.2</v>
      </c>
      <c r="D146" s="124">
        <f>+D144+D139+D133+D128</f>
        <v>102.6</v>
      </c>
      <c r="E146" s="117"/>
      <c r="F146" s="124">
        <f>+F144+F139+F133+F128</f>
        <v>-271.7</v>
      </c>
      <c r="G146" s="124">
        <f>+G144+G139+G133+G128</f>
        <v>-241</v>
      </c>
      <c r="H146" s="124">
        <f>+H144+H139+H133+H128</f>
        <v>30.699999999999996</v>
      </c>
      <c r="I146" s="118"/>
      <c r="J146" s="124">
        <f>+J144+J139+J133+J128</f>
        <v>-134.4</v>
      </c>
      <c r="K146" s="124">
        <f>+K144+K139+K133+K128</f>
        <v>-210</v>
      </c>
      <c r="L146" s="124">
        <f>+L144+L139+L133+L128</f>
        <v>-75.6</v>
      </c>
      <c r="M146" s="118"/>
      <c r="N146" s="124">
        <f>+N144+N139+N133+N128</f>
        <v>0</v>
      </c>
      <c r="O146" s="124">
        <f>+O144+O139+O133+O128</f>
        <v>-179.387</v>
      </c>
      <c r="P146" s="124">
        <f>+P144+P139+P133+P128</f>
        <v>0</v>
      </c>
      <c r="Q146" s="118"/>
      <c r="R146" s="124">
        <f>+R144+R139+R133+R128</f>
        <v>0</v>
      </c>
      <c r="S146" s="124">
        <f>+S144+S139+S133+S128</f>
        <v>-60</v>
      </c>
      <c r="T146" s="124">
        <f>+T144+T139+T133+T128</f>
        <v>0</v>
      </c>
    </row>
    <row r="147" spans="2:20" ht="12.75">
      <c r="B147" s="113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</row>
    <row r="148" spans="1:20" s="112" customFormat="1" ht="17.25" collapsed="1" thickBot="1">
      <c r="A148" s="123" t="s">
        <v>202</v>
      </c>
      <c r="B148" s="124">
        <f>+B146+B122+B98+B74+B50+B26</f>
        <v>-2343.59</v>
      </c>
      <c r="C148" s="124">
        <f>+C146+C122+C98+C74+C50+C26</f>
        <v>-2877.3028830000003</v>
      </c>
      <c r="D148" s="124">
        <f>+D146+D122+D98+D74+D50+D26</f>
        <v>-533.7128830000001</v>
      </c>
      <c r="E148" s="117"/>
      <c r="F148" s="124">
        <f>+F146+F122+F98+F74+F50+F26</f>
        <v>-1833.14</v>
      </c>
      <c r="G148" s="124">
        <f>+G146+G122+G98+G74+G50+G26</f>
        <v>-1573.0247421499998</v>
      </c>
      <c r="H148" s="124">
        <f>+H146+H122+H98+H74+H50+H26</f>
        <v>260.11525785000015</v>
      </c>
      <c r="I148" s="118"/>
      <c r="J148" s="124">
        <f>+J146+J122+J98+J74+J50+J26</f>
        <v>-1056.64</v>
      </c>
      <c r="K148" s="124">
        <f>+K146+K122+K98+K74+K50+K26</f>
        <v>-1222.2409467574998</v>
      </c>
      <c r="L148" s="124">
        <f>+L146+L122+L98+L74+L50+L26</f>
        <v>-165.6009467574998</v>
      </c>
      <c r="M148" s="118"/>
      <c r="N148" s="124">
        <f>+N146+N122+N98+N74+N50+N26</f>
        <v>0</v>
      </c>
      <c r="O148" s="124">
        <f>+O146+O122+O98+O74+O50+O26</f>
        <v>-1184.7649999999999</v>
      </c>
      <c r="P148" s="124">
        <f>+P146+P122+P98+P74+P50+P26</f>
        <v>0</v>
      </c>
      <c r="Q148" s="118"/>
      <c r="R148" s="124">
        <f>+R146+R122+R98+R74+R50+R26</f>
        <v>0</v>
      </c>
      <c r="S148" s="124">
        <f>+S146+S122+S98+S74+S50+S26</f>
        <v>-641.1945</v>
      </c>
      <c r="T148" s="124">
        <f>+T146+T122+T98+T74+T50+T26</f>
        <v>0</v>
      </c>
    </row>
    <row r="151" spans="1:20" ht="12.75">
      <c r="A151" t="s">
        <v>25</v>
      </c>
      <c r="B151" s="113">
        <f>+SUMIF($A$4:$A$148,A151,$B$4:$B$148)</f>
        <v>-127</v>
      </c>
      <c r="C151" s="113">
        <f>+SUMIF($A$4:$A$148,A151,$C$4:$C$148)</f>
        <v>-127</v>
      </c>
      <c r="D151" s="113">
        <f aca="true" t="shared" si="0" ref="D151:D170">+C151-B151</f>
        <v>0</v>
      </c>
      <c r="F151" s="113">
        <f>+SUMIF($A$4:$A$148,A151,$F$4:$F$148)</f>
        <v>-121</v>
      </c>
      <c r="G151" s="113">
        <f>+SUMIF($A$4:$A$148,A151,$G$4:$G$148)</f>
        <v>-121</v>
      </c>
      <c r="H151" s="113">
        <f aca="true" t="shared" si="1" ref="H151:H170">+G151-F151</f>
        <v>0</v>
      </c>
      <c r="J151" s="113">
        <f>+SUMIF($A$4:$A$148,A151,$J$4:$J$148)</f>
        <v>-38</v>
      </c>
      <c r="K151" s="113">
        <f>+SUMIF($A$4:$A$148,A151,$K$4:$K$148)</f>
        <v>-38</v>
      </c>
      <c r="L151" s="113">
        <f aca="true" t="shared" si="2" ref="L151:L170">+K151-J151</f>
        <v>0</v>
      </c>
      <c r="N151" s="113">
        <f>+SUMIF($A$4:$A$148,A151,$N$4:$N$148)</f>
        <v>0</v>
      </c>
      <c r="O151" s="113">
        <f>+SUMIF($A$4:$A$148,A151,$O$4:$O$148)</f>
        <v>-16.537000000000006</v>
      </c>
      <c r="P151" s="113">
        <f aca="true" t="shared" si="3" ref="P151:P170">+O151-N151</f>
        <v>-16.537000000000006</v>
      </c>
      <c r="R151" s="113">
        <f>+SUMIF($A$4:$A$148,A151,$R$4:$R$148)</f>
        <v>0</v>
      </c>
      <c r="S151" s="113">
        <f>+SUMIF($A$4:$A$148,A151,$S$4:$S$148)</f>
        <v>-16.207</v>
      </c>
      <c r="T151" s="113">
        <f aca="true" t="shared" si="4" ref="T151:T170">+S151-R151</f>
        <v>-16.207</v>
      </c>
    </row>
    <row r="152" spans="1:20" ht="12.75">
      <c r="A152" t="s">
        <v>35</v>
      </c>
      <c r="B152" s="113">
        <f aca="true" t="shared" si="5" ref="B152:B170">+SUMIF($A$4:$A$148,A152,$B$4:$B$148)</f>
        <v>-438.1</v>
      </c>
      <c r="C152" s="113">
        <f aca="true" t="shared" si="6" ref="C152:C170">+SUMIF($A$4:$A$148,A152,$C$4:$C$148)</f>
        <v>-463.1</v>
      </c>
      <c r="D152" s="113">
        <f t="shared" si="0"/>
        <v>-25</v>
      </c>
      <c r="F152" s="113">
        <f aca="true" t="shared" si="7" ref="F152:F170">+SUMIF($A$4:$A$148,A152,$F$4:$F$148)</f>
        <v>-170</v>
      </c>
      <c r="G152" s="113">
        <f aca="true" t="shared" si="8" ref="G152:G170">+SUMIF($A$4:$A$148,A152,$G$4:$G$148)</f>
        <v>-185</v>
      </c>
      <c r="H152" s="113">
        <f t="shared" si="1"/>
        <v>-15</v>
      </c>
      <c r="J152" s="113">
        <f aca="true" t="shared" si="9" ref="J152:J170">+SUMIF($A$4:$A$148,A152,$J$4:$J$148)</f>
        <v>-105</v>
      </c>
      <c r="K152" s="113">
        <f aca="true" t="shared" si="10" ref="K152:K170">+SUMIF($A$4:$A$148,A152,$K$4:$K$148)</f>
        <v>-107</v>
      </c>
      <c r="L152" s="113">
        <f t="shared" si="2"/>
        <v>-2</v>
      </c>
      <c r="N152" s="113">
        <f aca="true" t="shared" si="11" ref="N152:N170">+SUMIF($A$4:$A$148,A152,$N$4:$N$148)</f>
        <v>0</v>
      </c>
      <c r="O152" s="113">
        <f aca="true" t="shared" si="12" ref="O152:O170">+SUMIF($A$4:$A$148,A152,$O$4:$O$148)</f>
        <v>-303</v>
      </c>
      <c r="P152" s="113">
        <f t="shared" si="3"/>
        <v>-303</v>
      </c>
      <c r="R152" s="113">
        <f aca="true" t="shared" si="13" ref="R152:R170">+SUMIF($A$4:$A$148,A152,$R$4:$R$148)</f>
        <v>0</v>
      </c>
      <c r="S152" s="113">
        <f aca="true" t="shared" si="14" ref="S152:S170">+SUMIF($A$4:$A$148,A152,$S$4:$S$148)</f>
        <v>0</v>
      </c>
      <c r="T152" s="113">
        <f t="shared" si="4"/>
        <v>0</v>
      </c>
    </row>
    <row r="153" spans="1:20" ht="12.75">
      <c r="A153" t="s">
        <v>191</v>
      </c>
      <c r="B153" s="113">
        <f t="shared" si="5"/>
        <v>-193</v>
      </c>
      <c r="C153" s="113">
        <f t="shared" si="6"/>
        <v>-193</v>
      </c>
      <c r="D153" s="113">
        <f t="shared" si="0"/>
        <v>0</v>
      </c>
      <c r="F153" s="113">
        <f t="shared" si="7"/>
        <v>-133</v>
      </c>
      <c r="G153" s="113">
        <f t="shared" si="8"/>
        <v>-173</v>
      </c>
      <c r="H153" s="113">
        <f t="shared" si="1"/>
        <v>-40</v>
      </c>
      <c r="J153" s="113">
        <f t="shared" si="9"/>
        <v>-120</v>
      </c>
      <c r="K153" s="113">
        <f t="shared" si="10"/>
        <v>-109</v>
      </c>
      <c r="L153" s="113">
        <f t="shared" si="2"/>
        <v>11</v>
      </c>
      <c r="N153" s="113">
        <f t="shared" si="11"/>
        <v>0</v>
      </c>
      <c r="O153" s="113">
        <f t="shared" si="12"/>
        <v>-19.487</v>
      </c>
      <c r="P153" s="113">
        <f t="shared" si="3"/>
        <v>-19.487</v>
      </c>
      <c r="R153" s="113">
        <f t="shared" si="13"/>
        <v>0</v>
      </c>
      <c r="S153" s="113">
        <f t="shared" si="14"/>
        <v>-70.299</v>
      </c>
      <c r="T153" s="113">
        <f t="shared" si="4"/>
        <v>-70.299</v>
      </c>
    </row>
    <row r="154" spans="1:20" s="3" customFormat="1" ht="13.5" thickBot="1">
      <c r="A154" s="3" t="s">
        <v>24</v>
      </c>
      <c r="B154" s="114">
        <f t="shared" si="5"/>
        <v>-758.1</v>
      </c>
      <c r="C154" s="114">
        <f t="shared" si="6"/>
        <v>-783.1</v>
      </c>
      <c r="D154" s="114">
        <f t="shared" si="0"/>
        <v>-25</v>
      </c>
      <c r="F154" s="114">
        <f t="shared" si="7"/>
        <v>-424</v>
      </c>
      <c r="G154" s="114">
        <f t="shared" si="8"/>
        <v>-479</v>
      </c>
      <c r="H154" s="114">
        <f t="shared" si="1"/>
        <v>-55</v>
      </c>
      <c r="J154" s="114">
        <f t="shared" si="9"/>
        <v>-263</v>
      </c>
      <c r="K154" s="114">
        <f t="shared" si="10"/>
        <v>-254</v>
      </c>
      <c r="L154" s="114">
        <f t="shared" si="2"/>
        <v>9</v>
      </c>
      <c r="N154" s="114">
        <f t="shared" si="11"/>
        <v>0</v>
      </c>
      <c r="O154" s="114">
        <f t="shared" si="12"/>
        <v>-339.024</v>
      </c>
      <c r="P154" s="114">
        <f t="shared" si="3"/>
        <v>-339.024</v>
      </c>
      <c r="R154" s="114">
        <f t="shared" si="13"/>
        <v>0</v>
      </c>
      <c r="S154" s="114">
        <f t="shared" si="14"/>
        <v>-86.506</v>
      </c>
      <c r="T154" s="114">
        <f t="shared" si="4"/>
        <v>-86.506</v>
      </c>
    </row>
    <row r="155" spans="2:20" ht="12.75">
      <c r="B155" s="113"/>
      <c r="C155" s="113"/>
      <c r="F155" s="113"/>
      <c r="G155" s="113"/>
      <c r="J155" s="113"/>
      <c r="K155" s="113"/>
      <c r="N155" s="113"/>
      <c r="O155" s="113"/>
      <c r="P155" s="110"/>
      <c r="R155" s="113"/>
      <c r="S155" s="113"/>
      <c r="T155" s="110"/>
    </row>
    <row r="156" spans="1:20" ht="12.75">
      <c r="A156" t="s">
        <v>7</v>
      </c>
      <c r="B156" s="113">
        <f t="shared" si="5"/>
        <v>-356.79999999999995</v>
      </c>
      <c r="C156" s="113">
        <f t="shared" si="6"/>
        <v>-467.2</v>
      </c>
      <c r="D156" s="113">
        <f t="shared" si="0"/>
        <v>-110.40000000000003</v>
      </c>
      <c r="F156" s="113">
        <f t="shared" si="7"/>
        <v>-165.7</v>
      </c>
      <c r="G156" s="113">
        <f t="shared" si="8"/>
        <v>-131</v>
      </c>
      <c r="H156" s="113">
        <f t="shared" si="1"/>
        <v>34.69999999999999</v>
      </c>
      <c r="J156" s="113">
        <f t="shared" si="9"/>
        <v>-178.4</v>
      </c>
      <c r="K156" s="113">
        <f t="shared" si="10"/>
        <v>-34</v>
      </c>
      <c r="L156" s="113">
        <f t="shared" si="2"/>
        <v>144.4</v>
      </c>
      <c r="N156" s="113">
        <f t="shared" si="11"/>
        <v>0</v>
      </c>
      <c r="O156" s="113">
        <f t="shared" si="12"/>
        <v>-40</v>
      </c>
      <c r="P156" s="113">
        <f t="shared" si="3"/>
        <v>-40</v>
      </c>
      <c r="R156" s="113">
        <f t="shared" si="13"/>
        <v>0</v>
      </c>
      <c r="S156" s="113">
        <f t="shared" si="14"/>
        <v>-40</v>
      </c>
      <c r="T156" s="113">
        <f t="shared" si="4"/>
        <v>-40</v>
      </c>
    </row>
    <row r="157" spans="1:20" ht="12.75">
      <c r="A157" t="s">
        <v>192</v>
      </c>
      <c r="B157" s="113">
        <f t="shared" si="5"/>
        <v>32</v>
      </c>
      <c r="C157" s="113">
        <f t="shared" si="6"/>
        <v>171.268817</v>
      </c>
      <c r="D157" s="113">
        <f t="shared" si="0"/>
        <v>139.268817</v>
      </c>
      <c r="F157" s="113">
        <f t="shared" si="7"/>
        <v>-18</v>
      </c>
      <c r="G157" s="113">
        <f t="shared" si="8"/>
        <v>142.66790785</v>
      </c>
      <c r="H157" s="113">
        <f t="shared" si="1"/>
        <v>160.66790785</v>
      </c>
      <c r="J157" s="113">
        <f t="shared" si="9"/>
        <v>-2</v>
      </c>
      <c r="K157" s="113">
        <f t="shared" si="10"/>
        <v>89.40130324250018</v>
      </c>
      <c r="L157" s="113">
        <f t="shared" si="2"/>
        <v>91.40130324250018</v>
      </c>
      <c r="N157" s="113">
        <f t="shared" si="11"/>
        <v>0</v>
      </c>
      <c r="O157" s="113">
        <f t="shared" si="12"/>
        <v>-200</v>
      </c>
      <c r="P157" s="113">
        <f t="shared" si="3"/>
        <v>-200</v>
      </c>
      <c r="R157" s="113">
        <f t="shared" si="13"/>
        <v>0</v>
      </c>
      <c r="S157" s="113">
        <f t="shared" si="14"/>
        <v>0</v>
      </c>
      <c r="T157" s="113">
        <f t="shared" si="4"/>
        <v>0</v>
      </c>
    </row>
    <row r="158" spans="1:20" ht="12.75">
      <c r="A158" t="s">
        <v>148</v>
      </c>
      <c r="B158" s="113">
        <f t="shared" si="5"/>
        <v>-86</v>
      </c>
      <c r="C158" s="113">
        <f t="shared" si="6"/>
        <v>-86</v>
      </c>
      <c r="D158" s="113">
        <f t="shared" si="0"/>
        <v>0</v>
      </c>
      <c r="F158" s="113">
        <f t="shared" si="7"/>
        <v>-36</v>
      </c>
      <c r="G158" s="113">
        <f t="shared" si="8"/>
        <v>-36</v>
      </c>
      <c r="H158" s="113">
        <f t="shared" si="1"/>
        <v>0</v>
      </c>
      <c r="J158" s="113">
        <f t="shared" si="9"/>
        <v>-26</v>
      </c>
      <c r="K158" s="113">
        <f t="shared" si="10"/>
        <v>-26</v>
      </c>
      <c r="L158" s="113">
        <f t="shared" si="2"/>
        <v>0</v>
      </c>
      <c r="N158" s="113">
        <f t="shared" si="11"/>
        <v>0</v>
      </c>
      <c r="O158" s="113">
        <f t="shared" si="12"/>
        <v>-48.9</v>
      </c>
      <c r="P158" s="113">
        <f t="shared" si="3"/>
        <v>-48.9</v>
      </c>
      <c r="R158" s="113">
        <f t="shared" si="13"/>
        <v>0</v>
      </c>
      <c r="S158" s="113">
        <f t="shared" si="14"/>
        <v>-10</v>
      </c>
      <c r="T158" s="113">
        <f t="shared" si="4"/>
        <v>-10</v>
      </c>
    </row>
    <row r="159" spans="1:20" s="3" customFormat="1" ht="13.5" thickBot="1">
      <c r="A159" s="3" t="s">
        <v>36</v>
      </c>
      <c r="B159" s="114">
        <f t="shared" si="5"/>
        <v>-410.79999999999995</v>
      </c>
      <c r="C159" s="114">
        <f t="shared" si="6"/>
        <v>-381.931183</v>
      </c>
      <c r="D159" s="114">
        <f t="shared" si="0"/>
        <v>28.86881699999998</v>
      </c>
      <c r="F159" s="114">
        <f t="shared" si="7"/>
        <v>-219.7</v>
      </c>
      <c r="G159" s="114">
        <f t="shared" si="8"/>
        <v>-24.332092149999994</v>
      </c>
      <c r="H159" s="114">
        <f t="shared" si="1"/>
        <v>195.36790785</v>
      </c>
      <c r="J159" s="114">
        <f t="shared" si="9"/>
        <v>-206.4</v>
      </c>
      <c r="K159" s="114">
        <f t="shared" si="10"/>
        <v>29.401303242500177</v>
      </c>
      <c r="L159" s="114">
        <f t="shared" si="2"/>
        <v>235.80130324250018</v>
      </c>
      <c r="N159" s="114">
        <f t="shared" si="11"/>
        <v>0</v>
      </c>
      <c r="O159" s="114">
        <f t="shared" si="12"/>
        <v>-288.9</v>
      </c>
      <c r="P159" s="114">
        <f t="shared" si="3"/>
        <v>-288.9</v>
      </c>
      <c r="R159" s="114">
        <f t="shared" si="13"/>
        <v>0</v>
      </c>
      <c r="S159" s="114">
        <f t="shared" si="14"/>
        <v>-50</v>
      </c>
      <c r="T159" s="114">
        <f t="shared" si="4"/>
        <v>-50</v>
      </c>
    </row>
    <row r="160" spans="2:20" ht="12.75">
      <c r="B160" s="113"/>
      <c r="C160" s="113"/>
      <c r="F160" s="113"/>
      <c r="G160" s="113"/>
      <c r="J160" s="113"/>
      <c r="K160" s="113"/>
      <c r="N160" s="113"/>
      <c r="O160" s="113"/>
      <c r="P160" s="110"/>
      <c r="R160" s="113"/>
      <c r="S160" s="113"/>
      <c r="T160" s="110"/>
    </row>
    <row r="161" spans="1:20" ht="12.75">
      <c r="A161" t="s">
        <v>30</v>
      </c>
      <c r="B161" s="113">
        <f t="shared" si="5"/>
        <v>-210</v>
      </c>
      <c r="C161" s="113">
        <f t="shared" si="6"/>
        <v>-274</v>
      </c>
      <c r="D161" s="113">
        <f t="shared" si="0"/>
        <v>-64</v>
      </c>
      <c r="F161" s="113">
        <f t="shared" si="7"/>
        <v>-231</v>
      </c>
      <c r="G161" s="113">
        <f t="shared" si="8"/>
        <v>-177.075</v>
      </c>
      <c r="H161" s="113">
        <f t="shared" si="1"/>
        <v>53.92500000000001</v>
      </c>
      <c r="J161" s="113">
        <f t="shared" si="9"/>
        <v>-74</v>
      </c>
      <c r="K161" s="113">
        <f t="shared" si="10"/>
        <v>-74</v>
      </c>
      <c r="L161" s="113">
        <f t="shared" si="2"/>
        <v>0</v>
      </c>
      <c r="N161" s="113">
        <f t="shared" si="11"/>
        <v>0</v>
      </c>
      <c r="O161" s="113">
        <f t="shared" si="12"/>
        <v>0</v>
      </c>
      <c r="P161" s="113">
        <f t="shared" si="3"/>
        <v>0</v>
      </c>
      <c r="R161" s="113">
        <f t="shared" si="13"/>
        <v>0</v>
      </c>
      <c r="S161" s="113">
        <f t="shared" si="14"/>
        <v>-30</v>
      </c>
      <c r="T161" s="113">
        <f t="shared" si="4"/>
        <v>-30</v>
      </c>
    </row>
    <row r="162" spans="1:20" ht="12.75">
      <c r="A162" t="s">
        <v>138</v>
      </c>
      <c r="B162" s="113">
        <f t="shared" si="5"/>
        <v>-495</v>
      </c>
      <c r="C162" s="113">
        <f t="shared" si="6"/>
        <v>-271</v>
      </c>
      <c r="D162" s="113">
        <f t="shared" si="0"/>
        <v>224</v>
      </c>
      <c r="F162" s="113">
        <f t="shared" si="7"/>
        <v>-505</v>
      </c>
      <c r="G162" s="113">
        <f t="shared" si="8"/>
        <v>-253.75</v>
      </c>
      <c r="H162" s="113">
        <f t="shared" si="1"/>
        <v>251.25</v>
      </c>
      <c r="J162" s="113">
        <f t="shared" si="9"/>
        <v>-220</v>
      </c>
      <c r="K162" s="113">
        <f t="shared" si="10"/>
        <v>-703.8050000000001</v>
      </c>
      <c r="L162" s="113">
        <f t="shared" si="2"/>
        <v>-483.80500000000006</v>
      </c>
      <c r="N162" s="113">
        <f t="shared" si="11"/>
        <v>0</v>
      </c>
      <c r="O162" s="113">
        <f t="shared" si="12"/>
        <v>-291.991</v>
      </c>
      <c r="P162" s="113">
        <f t="shared" si="3"/>
        <v>-291.991</v>
      </c>
      <c r="R162" s="113">
        <f t="shared" si="13"/>
        <v>0</v>
      </c>
      <c r="S162" s="113">
        <f t="shared" si="14"/>
        <v>-291.4145</v>
      </c>
      <c r="T162" s="113">
        <f t="shared" si="4"/>
        <v>-291.4145</v>
      </c>
    </row>
    <row r="163" spans="1:20" ht="12.75">
      <c r="A163" t="s">
        <v>21</v>
      </c>
      <c r="B163" s="113">
        <f t="shared" si="5"/>
        <v>661.31</v>
      </c>
      <c r="C163" s="113">
        <f t="shared" si="6"/>
        <v>-154.014</v>
      </c>
      <c r="D163" s="113">
        <f t="shared" si="0"/>
        <v>-815.324</v>
      </c>
      <c r="F163" s="113">
        <f t="shared" si="7"/>
        <v>-83</v>
      </c>
      <c r="G163" s="113">
        <f t="shared" si="8"/>
        <v>-197</v>
      </c>
      <c r="H163" s="113">
        <f t="shared" si="1"/>
        <v>-114</v>
      </c>
      <c r="J163" s="113">
        <f t="shared" si="9"/>
        <v>-14</v>
      </c>
      <c r="K163" s="113">
        <f t="shared" si="10"/>
        <v>-14</v>
      </c>
      <c r="L163" s="113">
        <f t="shared" si="2"/>
        <v>0</v>
      </c>
      <c r="N163" s="113">
        <f t="shared" si="11"/>
        <v>0</v>
      </c>
      <c r="O163" s="113">
        <f t="shared" si="12"/>
        <v>-90.528</v>
      </c>
      <c r="P163" s="113">
        <f t="shared" si="3"/>
        <v>-90.528</v>
      </c>
      <c r="R163" s="113">
        <f t="shared" si="13"/>
        <v>0</v>
      </c>
      <c r="S163" s="113">
        <f t="shared" si="14"/>
        <v>-65.528</v>
      </c>
      <c r="T163" s="113">
        <f t="shared" si="4"/>
        <v>-65.528</v>
      </c>
    </row>
    <row r="164" spans="1:20" ht="12.75">
      <c r="A164" t="s">
        <v>38</v>
      </c>
      <c r="B164" s="113">
        <f t="shared" si="5"/>
        <v>-759.56</v>
      </c>
      <c r="C164" s="113">
        <f t="shared" si="6"/>
        <v>-744.5577000000002</v>
      </c>
      <c r="D164" s="113">
        <f t="shared" si="0"/>
        <v>15.002299999999764</v>
      </c>
      <c r="F164" s="113">
        <f t="shared" si="7"/>
        <v>-150.37</v>
      </c>
      <c r="G164" s="113">
        <f t="shared" si="8"/>
        <v>-130.8676499999999</v>
      </c>
      <c r="H164" s="113">
        <f t="shared" si="1"/>
        <v>19.502350000000092</v>
      </c>
      <c r="J164" s="113">
        <f t="shared" si="9"/>
        <v>-104.54</v>
      </c>
      <c r="K164" s="113">
        <f t="shared" si="10"/>
        <v>-140.03725</v>
      </c>
      <c r="L164" s="113">
        <f t="shared" si="2"/>
        <v>-35.497249999999994</v>
      </c>
      <c r="N164" s="113">
        <f t="shared" si="11"/>
        <v>0</v>
      </c>
      <c r="O164" s="113">
        <f t="shared" si="12"/>
        <v>-61</v>
      </c>
      <c r="P164" s="113">
        <f t="shared" si="3"/>
        <v>-61</v>
      </c>
      <c r="R164" s="113">
        <f t="shared" si="13"/>
        <v>0</v>
      </c>
      <c r="S164" s="113">
        <f t="shared" si="14"/>
        <v>-61</v>
      </c>
      <c r="T164" s="113">
        <f t="shared" si="4"/>
        <v>-61</v>
      </c>
    </row>
    <row r="165" spans="1:20" s="3" customFormat="1" ht="13.5" thickBot="1">
      <c r="A165" s="3" t="s">
        <v>29</v>
      </c>
      <c r="B165" s="114">
        <f t="shared" si="5"/>
        <v>-803.25</v>
      </c>
      <c r="C165" s="114">
        <f t="shared" si="6"/>
        <v>-1443.5717000000002</v>
      </c>
      <c r="D165" s="114">
        <f t="shared" si="0"/>
        <v>-640.3217000000002</v>
      </c>
      <c r="F165" s="114">
        <f t="shared" si="7"/>
        <v>-969.37</v>
      </c>
      <c r="G165" s="114">
        <f t="shared" si="8"/>
        <v>-758.69265</v>
      </c>
      <c r="H165" s="114">
        <f t="shared" si="1"/>
        <v>210.67735000000005</v>
      </c>
      <c r="J165" s="114">
        <f t="shared" si="9"/>
        <v>-412.54</v>
      </c>
      <c r="K165" s="114">
        <f t="shared" si="10"/>
        <v>-931.8422499999999</v>
      </c>
      <c r="L165" s="114">
        <f t="shared" si="2"/>
        <v>-519.30225</v>
      </c>
      <c r="N165" s="114">
        <f t="shared" si="11"/>
        <v>0</v>
      </c>
      <c r="O165" s="114">
        <f t="shared" si="12"/>
        <v>-443.519</v>
      </c>
      <c r="P165" s="114">
        <f t="shared" si="3"/>
        <v>-443.519</v>
      </c>
      <c r="R165" s="114">
        <f t="shared" si="13"/>
        <v>0</v>
      </c>
      <c r="S165" s="114">
        <f t="shared" si="14"/>
        <v>-447.9425</v>
      </c>
      <c r="T165" s="114">
        <f t="shared" si="4"/>
        <v>-447.9425</v>
      </c>
    </row>
    <row r="166" spans="2:20" ht="12.75">
      <c r="B166" s="113"/>
      <c r="C166" s="113"/>
      <c r="F166" s="113"/>
      <c r="G166" s="113"/>
      <c r="J166" s="113"/>
      <c r="K166" s="113"/>
      <c r="N166" s="113"/>
      <c r="O166" s="113"/>
      <c r="P166" s="110"/>
      <c r="R166" s="113"/>
      <c r="S166" s="113"/>
      <c r="T166" s="110"/>
    </row>
    <row r="167" spans="1:20" ht="12.75">
      <c r="A167" t="s">
        <v>194</v>
      </c>
      <c r="B167" s="113">
        <f t="shared" si="5"/>
        <v>-284.74</v>
      </c>
      <c r="C167" s="113">
        <f t="shared" si="6"/>
        <v>-130.5</v>
      </c>
      <c r="D167" s="113">
        <f t="shared" si="0"/>
        <v>154.24</v>
      </c>
      <c r="F167" s="113">
        <f t="shared" si="7"/>
        <v>-86.87</v>
      </c>
      <c r="G167" s="113">
        <f t="shared" si="8"/>
        <v>-210.3</v>
      </c>
      <c r="H167" s="113">
        <f t="shared" si="1"/>
        <v>-123.43</v>
      </c>
      <c r="J167" s="113">
        <f t="shared" si="9"/>
        <v>-54.7</v>
      </c>
      <c r="K167" s="113">
        <f t="shared" si="10"/>
        <v>-40.8</v>
      </c>
      <c r="L167" s="113">
        <f t="shared" si="2"/>
        <v>13.900000000000006</v>
      </c>
      <c r="N167" s="113">
        <f t="shared" si="11"/>
        <v>0</v>
      </c>
      <c r="O167" s="113">
        <f t="shared" si="12"/>
        <v>-56.5</v>
      </c>
      <c r="P167" s="113">
        <f t="shared" si="3"/>
        <v>-56.5</v>
      </c>
      <c r="R167" s="113">
        <f t="shared" si="13"/>
        <v>0</v>
      </c>
      <c r="S167" s="113">
        <f t="shared" si="14"/>
        <v>-28.5</v>
      </c>
      <c r="T167" s="113">
        <f t="shared" si="4"/>
        <v>-28.5</v>
      </c>
    </row>
    <row r="168" spans="1:20" ht="12.75">
      <c r="A168" t="s">
        <v>14</v>
      </c>
      <c r="B168" s="113">
        <f t="shared" si="5"/>
        <v>-40</v>
      </c>
      <c r="C168" s="113">
        <f t="shared" si="6"/>
        <v>-61</v>
      </c>
      <c r="D168" s="113">
        <f t="shared" si="0"/>
        <v>-21</v>
      </c>
      <c r="F168" s="113">
        <f t="shared" si="7"/>
        <v>0</v>
      </c>
      <c r="G168" s="113">
        <f t="shared" si="8"/>
        <v>-52</v>
      </c>
      <c r="H168" s="113">
        <f t="shared" si="1"/>
        <v>-52</v>
      </c>
      <c r="J168" s="113">
        <f t="shared" si="9"/>
        <v>-80</v>
      </c>
      <c r="K168" s="113">
        <f t="shared" si="10"/>
        <v>-20</v>
      </c>
      <c r="L168" s="113">
        <f t="shared" si="2"/>
        <v>60</v>
      </c>
      <c r="N168" s="113">
        <f t="shared" si="11"/>
        <v>0</v>
      </c>
      <c r="O168" s="113">
        <f t="shared" si="12"/>
        <v>-18.463</v>
      </c>
      <c r="P168" s="113">
        <f t="shared" si="3"/>
        <v>-18.463</v>
      </c>
      <c r="R168" s="113">
        <f t="shared" si="13"/>
        <v>0</v>
      </c>
      <c r="S168" s="113">
        <f t="shared" si="14"/>
        <v>-17.974</v>
      </c>
      <c r="T168" s="113">
        <f t="shared" si="4"/>
        <v>-17.974</v>
      </c>
    </row>
    <row r="169" spans="1:20" ht="12.75">
      <c r="A169" t="s">
        <v>193</v>
      </c>
      <c r="B169" s="113">
        <f t="shared" si="5"/>
        <v>-46.7</v>
      </c>
      <c r="C169" s="113">
        <f t="shared" si="6"/>
        <v>-77.2</v>
      </c>
      <c r="D169" s="113">
        <f t="shared" si="0"/>
        <v>-30.5</v>
      </c>
      <c r="F169" s="113">
        <f t="shared" si="7"/>
        <v>-133.2</v>
      </c>
      <c r="G169" s="113">
        <f t="shared" si="8"/>
        <v>-48.7</v>
      </c>
      <c r="H169" s="113">
        <f t="shared" si="1"/>
        <v>84.49999999999999</v>
      </c>
      <c r="J169" s="113">
        <f t="shared" si="9"/>
        <v>-40</v>
      </c>
      <c r="K169" s="113">
        <f t="shared" si="10"/>
        <v>-5</v>
      </c>
      <c r="L169" s="113">
        <f t="shared" si="2"/>
        <v>35</v>
      </c>
      <c r="N169" s="113">
        <f t="shared" si="11"/>
        <v>0</v>
      </c>
      <c r="O169" s="113">
        <f t="shared" si="12"/>
        <v>-38.359</v>
      </c>
      <c r="P169" s="113">
        <f t="shared" si="3"/>
        <v>-38.359</v>
      </c>
      <c r="R169" s="113">
        <f t="shared" si="13"/>
        <v>0</v>
      </c>
      <c r="S169" s="113">
        <f t="shared" si="14"/>
        <v>-10.272</v>
      </c>
      <c r="T169" s="113">
        <f t="shared" si="4"/>
        <v>-10.272</v>
      </c>
    </row>
    <row r="170" spans="1:20" s="3" customFormat="1" ht="13.5" thickBot="1">
      <c r="A170" s="3" t="s">
        <v>39</v>
      </c>
      <c r="B170" s="114">
        <f t="shared" si="5"/>
        <v>-371.44</v>
      </c>
      <c r="C170" s="114">
        <f t="shared" si="6"/>
        <v>-268.7</v>
      </c>
      <c r="D170" s="114">
        <f t="shared" si="0"/>
        <v>102.74000000000001</v>
      </c>
      <c r="F170" s="114">
        <f t="shared" si="7"/>
        <v>-220.07</v>
      </c>
      <c r="G170" s="114">
        <f t="shared" si="8"/>
        <v>-311</v>
      </c>
      <c r="H170" s="114">
        <f t="shared" si="1"/>
        <v>-90.93</v>
      </c>
      <c r="J170" s="114">
        <f t="shared" si="9"/>
        <v>-174.7</v>
      </c>
      <c r="K170" s="114">
        <f t="shared" si="10"/>
        <v>-65.8</v>
      </c>
      <c r="L170" s="114">
        <f t="shared" si="2"/>
        <v>108.89999999999999</v>
      </c>
      <c r="N170" s="114">
        <f t="shared" si="11"/>
        <v>0</v>
      </c>
      <c r="O170" s="114">
        <f t="shared" si="12"/>
        <v>-113.322</v>
      </c>
      <c r="P170" s="114">
        <f t="shared" si="3"/>
        <v>-113.322</v>
      </c>
      <c r="R170" s="114">
        <f t="shared" si="13"/>
        <v>0</v>
      </c>
      <c r="S170" s="114">
        <f t="shared" si="14"/>
        <v>-56.746</v>
      </c>
      <c r="T170" s="114">
        <f t="shared" si="4"/>
        <v>-56.746</v>
      </c>
    </row>
    <row r="172" spans="2:20" s="3" customFormat="1" ht="13.5" thickBot="1">
      <c r="B172" s="114">
        <f>+B170+B165+B159+B154</f>
        <v>-2343.59</v>
      </c>
      <c r="C172" s="114">
        <f>+C170+C165+C159+C154</f>
        <v>-2877.3028830000003</v>
      </c>
      <c r="D172" s="114">
        <f>+D170+D165+D159+D154</f>
        <v>-533.7128830000001</v>
      </c>
      <c r="F172" s="114">
        <f>+F170+F165+F159+F154</f>
        <v>-1833.14</v>
      </c>
      <c r="G172" s="114">
        <f>+G170+G165+G159+G154</f>
        <v>-1573.0247421499998</v>
      </c>
      <c r="H172" s="114">
        <f>+H170+H165+H159+H154</f>
        <v>260.11525785000003</v>
      </c>
      <c r="J172" s="114">
        <f>+J170+J165+J159+J154</f>
        <v>-1056.6399999999999</v>
      </c>
      <c r="K172" s="114">
        <f>+K170+K165+K159+K154</f>
        <v>-1222.2409467574998</v>
      </c>
      <c r="L172" s="114">
        <f>+L170+L165+L159+L154</f>
        <v>-165.6009467574998</v>
      </c>
      <c r="N172" s="114">
        <f>+N170+N165+N159+N154</f>
        <v>0</v>
      </c>
      <c r="O172" s="114">
        <f>+O170+O165+O159+O154</f>
        <v>-1184.7649999999999</v>
      </c>
      <c r="P172" s="114">
        <f>+P170+P165+P159+P154</f>
        <v>-1184.7649999999999</v>
      </c>
      <c r="R172" s="114">
        <f>+R170+R165+R159+R154</f>
        <v>0</v>
      </c>
      <c r="S172" s="114">
        <f>+S170+S165+S159+S154</f>
        <v>-641.1945</v>
      </c>
      <c r="T172" s="114">
        <f>+T170+T165+T159+T154</f>
        <v>-641.1945</v>
      </c>
    </row>
  </sheetData>
  <mergeCells count="5">
    <mergeCell ref="R1:T1"/>
    <mergeCell ref="B1:D1"/>
    <mergeCell ref="N1:P1"/>
    <mergeCell ref="J1:L1"/>
    <mergeCell ref="F1:H1"/>
  </mergeCells>
  <printOptions/>
  <pageMargins left="0.75" right="0.75" top="1" bottom="1" header="0.5" footer="0.5"/>
  <pageSetup fitToHeight="5" horizontalDpi="600" verticalDpi="600" orientation="landscape" paperSize="9" scale="54" r:id="rId1"/>
  <headerFooter alignWithMargins="0">
    <oddFooter>&amp;C&amp;P</oddFooter>
  </headerFooter>
  <rowBreaks count="2" manualBreakCount="2">
    <brk id="50" max="255" man="1"/>
    <brk id="9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5"/>
  <sheetViews>
    <sheetView zoomScale="75" zoomScaleNormal="75" workbookViewId="0" topLeftCell="B1">
      <pane ySplit="2" topLeftCell="BM3" activePane="bottomLeft" state="frozen"/>
      <selection pane="topLeft" activeCell="B1" sqref="B1"/>
      <selection pane="bottomLeft" activeCell="O21" sqref="O21"/>
    </sheetView>
  </sheetViews>
  <sheetFormatPr defaultColWidth="9.140625" defaultRowHeight="12.75" outlineLevelRow="1"/>
  <cols>
    <col min="1" max="1" width="27.7109375" style="131" hidden="1" customWidth="1"/>
    <col min="2" max="2" width="35.28125" style="131" customWidth="1"/>
    <col min="3" max="4" width="10.57421875" style="131" bestFit="1" customWidth="1"/>
    <col min="5" max="5" width="10.421875" style="131" bestFit="1" customWidth="1"/>
    <col min="6" max="6" width="14.28125" style="132" customWidth="1"/>
    <col min="7" max="7" width="3.57421875" style="156" customWidth="1"/>
    <col min="8" max="8" width="10.421875" style="131" bestFit="1" customWidth="1"/>
    <col min="9" max="9" width="10.421875" style="131" hidden="1" customWidth="1"/>
    <col min="10" max="10" width="13.421875" style="132" customWidth="1"/>
    <col min="11" max="11" width="4.28125" style="157" customWidth="1"/>
    <col min="12" max="13" width="13.421875" style="131" bestFit="1" customWidth="1"/>
    <col min="14" max="14" width="1.57421875" style="131" customWidth="1"/>
    <col min="15" max="15" width="41.7109375" style="126" customWidth="1"/>
    <col min="16" max="16" width="24.140625" style="131" bestFit="1" customWidth="1"/>
    <col min="17" max="17" width="13.57421875" style="131" bestFit="1" customWidth="1"/>
    <col min="18" max="18" width="16.7109375" style="131" bestFit="1" customWidth="1"/>
    <col min="19" max="19" width="10.8515625" style="131" bestFit="1" customWidth="1"/>
    <col min="20" max="20" width="11.8515625" style="131" bestFit="1" customWidth="1"/>
    <col min="21" max="21" width="9.140625" style="131" customWidth="1"/>
    <col min="22" max="22" width="23.57421875" style="131" bestFit="1" customWidth="1"/>
    <col min="23" max="23" width="19.28125" style="131" bestFit="1" customWidth="1"/>
    <col min="24" max="24" width="18.421875" style="131" bestFit="1" customWidth="1"/>
    <col min="25" max="25" width="13.8515625" style="131" bestFit="1" customWidth="1"/>
    <col min="26" max="16384" width="9.140625" style="131" customWidth="1"/>
  </cols>
  <sheetData>
    <row r="1" spans="2:13" s="126" customFormat="1" ht="37.5" customHeight="1">
      <c r="B1" s="127"/>
      <c r="C1" s="127" t="s">
        <v>101</v>
      </c>
      <c r="D1" s="127" t="s">
        <v>102</v>
      </c>
      <c r="E1" s="127" t="s">
        <v>183</v>
      </c>
      <c r="F1" s="128" t="s">
        <v>224</v>
      </c>
      <c r="G1" s="129"/>
      <c r="H1" s="127" t="s">
        <v>184</v>
      </c>
      <c r="I1" s="127" t="s">
        <v>185</v>
      </c>
      <c r="J1" s="128" t="s">
        <v>223</v>
      </c>
      <c r="K1" s="130"/>
      <c r="L1" s="128" t="s">
        <v>225</v>
      </c>
      <c r="M1" s="128" t="s">
        <v>241</v>
      </c>
    </row>
    <row r="2" spans="2:13" ht="12.75">
      <c r="B2" s="132"/>
      <c r="C2" s="133" t="s">
        <v>73</v>
      </c>
      <c r="D2" s="133" t="s">
        <v>73</v>
      </c>
      <c r="E2" s="133" t="s">
        <v>73</v>
      </c>
      <c r="F2" s="133" t="s">
        <v>73</v>
      </c>
      <c r="G2" s="134"/>
      <c r="H2" s="133" t="s">
        <v>73</v>
      </c>
      <c r="I2" s="133" t="s">
        <v>73</v>
      </c>
      <c r="J2" s="133" t="s">
        <v>73</v>
      </c>
      <c r="K2" s="134"/>
      <c r="L2" s="133" t="s">
        <v>73</v>
      </c>
      <c r="M2" s="133" t="s">
        <v>73</v>
      </c>
    </row>
    <row r="3" spans="1:13" ht="12.75" outlineLevel="1">
      <c r="A3" s="132" t="s">
        <v>25</v>
      </c>
      <c r="B3" s="131" t="s">
        <v>10</v>
      </c>
      <c r="C3" s="135">
        <f>+VLOOKUP(A3,'Change Summary by catogory'!$A$5:$D$23,4,0)</f>
        <v>0</v>
      </c>
      <c r="D3" s="135">
        <f>+VLOOKUP(A3,'Change Summary by catogory'!$A$5:$H$23,8,0)</f>
        <v>0</v>
      </c>
      <c r="E3" s="135">
        <f>+VLOOKUP(A3,'Change Summary by catogory'!$A$5:$L$23,12,0)</f>
        <v>0</v>
      </c>
      <c r="F3" s="136">
        <f aca="true" t="shared" si="0" ref="F3:F8">+SUM(C3:E3)</f>
        <v>0</v>
      </c>
      <c r="G3" s="137"/>
      <c r="H3" s="135">
        <f>+VLOOKUP(A3,'Change Summary by catogory'!$A$5:$O$23,15,0)</f>
        <v>0</v>
      </c>
      <c r="I3" s="135">
        <f>+VLOOKUP(A3,'Change Summary by catogory'!$A$5:$S$23,19,0)</f>
        <v>0</v>
      </c>
      <c r="J3" s="136">
        <f aca="true" t="shared" si="1" ref="J3:J8">+SUM(H3:I3)</f>
        <v>0</v>
      </c>
      <c r="K3" s="138"/>
      <c r="L3" s="135"/>
      <c r="M3" s="135"/>
    </row>
    <row r="4" spans="1:13" ht="12.75" outlineLevel="1">
      <c r="A4" s="132" t="s">
        <v>25</v>
      </c>
      <c r="B4" s="131" t="s">
        <v>1</v>
      </c>
      <c r="C4" s="135">
        <f>+VLOOKUP(A4,'Change Summary by catogory'!$A$29:$D$47,4,0)</f>
        <v>10</v>
      </c>
      <c r="D4" s="135">
        <f>+VLOOKUP(A4,'Change Summary by catogory'!$A$29:$H$47,8,0)</f>
        <v>40</v>
      </c>
      <c r="E4" s="135">
        <f>+VLOOKUP(A4,'Change Summary by catogory'!$A$29:$L$47,12,0)</f>
        <v>0</v>
      </c>
      <c r="F4" s="136">
        <f t="shared" si="0"/>
        <v>50</v>
      </c>
      <c r="G4" s="137"/>
      <c r="H4" s="135">
        <f>+VLOOKUP(A4,'Change Summary by catogory'!$A$29:$O$47,15,0)</f>
        <v>0</v>
      </c>
      <c r="I4" s="135">
        <f>+VLOOKUP(A4,'Change Summary by catogory'!$A$29:$S$47,19,0)</f>
        <v>0</v>
      </c>
      <c r="J4" s="136">
        <f t="shared" si="1"/>
        <v>0</v>
      </c>
      <c r="K4" s="138"/>
      <c r="L4" s="135"/>
      <c r="M4" s="135"/>
    </row>
    <row r="5" spans="1:13" ht="12.75" outlineLevel="1">
      <c r="A5" s="132" t="s">
        <v>25</v>
      </c>
      <c r="B5" s="131" t="s">
        <v>203</v>
      </c>
      <c r="C5" s="135">
        <f>+VLOOKUP(A5,'Change Summary by catogory'!$A$53:$D$71,4,0)</f>
        <v>0</v>
      </c>
      <c r="D5" s="135">
        <f>+VLOOKUP(A5,'Change Summary by catogory'!$A$53:$H$66,8,0)</f>
        <v>0</v>
      </c>
      <c r="E5" s="135">
        <f>+VLOOKUP(A5,'Change Summary by catogory'!$A$53:$L$71,12,0)</f>
        <v>0</v>
      </c>
      <c r="F5" s="136">
        <f t="shared" si="0"/>
        <v>0</v>
      </c>
      <c r="G5" s="137"/>
      <c r="H5" s="135">
        <f>+VLOOKUP(A5,'Change Summary by catogory'!$A$53:$O$71,15,0)</f>
        <v>0</v>
      </c>
      <c r="I5" s="135">
        <f>+VLOOKUP(A5,'Change Summary by catogory'!$A$53:$S$71,19,0)</f>
        <v>0</v>
      </c>
      <c r="J5" s="136">
        <f t="shared" si="1"/>
        <v>0</v>
      </c>
      <c r="K5" s="138"/>
      <c r="L5" s="135"/>
      <c r="M5" s="135"/>
    </row>
    <row r="6" spans="1:13" ht="12.75" outlineLevel="1">
      <c r="A6" s="132" t="s">
        <v>25</v>
      </c>
      <c r="B6" s="131" t="s">
        <v>204</v>
      </c>
      <c r="C6" s="135">
        <f>+VLOOKUP(A6,'Change Summary by catogory'!$A$77:$D$95,4,0)</f>
        <v>0</v>
      </c>
      <c r="D6" s="135">
        <f>+VLOOKUP(A6,'Change Summary by catogory'!$A$77:$H$95,8,0)</f>
        <v>0</v>
      </c>
      <c r="E6" s="135">
        <f>+VLOOKUP(A6,'Change Summary by catogory'!$A$77:$L$95,12,0)</f>
        <v>0</v>
      </c>
      <c r="F6" s="136">
        <f t="shared" si="0"/>
        <v>0</v>
      </c>
      <c r="G6" s="137"/>
      <c r="H6" s="135">
        <f>+VLOOKUP(A6,'Change Summary by catogory'!$A$77:$O$95,15,0)</f>
        <v>0</v>
      </c>
      <c r="I6" s="135">
        <f>+VLOOKUP(A6,'Change Summary by catogory'!$A$77:$S$95,19,0)</f>
        <v>0</v>
      </c>
      <c r="J6" s="136">
        <f t="shared" si="1"/>
        <v>0</v>
      </c>
      <c r="K6" s="138"/>
      <c r="L6" s="135"/>
      <c r="M6" s="135"/>
    </row>
    <row r="7" spans="1:13" ht="12.75" outlineLevel="1">
      <c r="A7" s="132" t="s">
        <v>25</v>
      </c>
      <c r="B7" s="131" t="s">
        <v>196</v>
      </c>
      <c r="C7" s="135">
        <f>+VLOOKUP(A7,'Change Summary by catogory'!$A$101:$D$119,4,0)</f>
        <v>-161</v>
      </c>
      <c r="D7" s="135">
        <f>+VLOOKUP(A7,'Change Summary by catogory'!$A$101:$H$119,8,0)</f>
        <v>-50</v>
      </c>
      <c r="E7" s="135">
        <f>+VLOOKUP(A7,'Change Summary by catogory'!$A$101:$L$119,12,0)</f>
        <v>100</v>
      </c>
      <c r="F7" s="136">
        <f t="shared" si="0"/>
        <v>-111</v>
      </c>
      <c r="G7" s="137"/>
      <c r="H7" s="135">
        <f>+VLOOKUP(A7,'Change Summary by catogory'!$A$101:$O$119,15,)</f>
        <v>69.463</v>
      </c>
      <c r="I7" s="135">
        <f>+VLOOKUP(A8,'Change Summary by catogory'!$A$101:$S$119,19,0)</f>
        <v>-6.207</v>
      </c>
      <c r="J7" s="136">
        <f t="shared" si="1"/>
        <v>63.25599999999999</v>
      </c>
      <c r="K7" s="138"/>
      <c r="L7" s="135"/>
      <c r="M7" s="135"/>
    </row>
    <row r="8" spans="1:13" ht="12.75" outlineLevel="1">
      <c r="A8" s="132" t="s">
        <v>25</v>
      </c>
      <c r="B8" s="131" t="s">
        <v>5</v>
      </c>
      <c r="C8" s="135">
        <f>+VLOOKUP(A8,'Change Summary by catogory'!$A$125:$D$143,4,0)</f>
        <v>151</v>
      </c>
      <c r="D8" s="135">
        <f>+VLOOKUP(A8,'Change Summary by catogory'!$A$125:$H$143,8,0)</f>
        <v>10</v>
      </c>
      <c r="E8" s="135">
        <f>+VLOOKUP(A8,'Change Summary by catogory'!$A$125:$L$143,12,0)</f>
        <v>-100</v>
      </c>
      <c r="F8" s="136">
        <f t="shared" si="0"/>
        <v>61</v>
      </c>
      <c r="G8" s="137"/>
      <c r="H8" s="135">
        <f>+VLOOKUP(A8,'Change Summary by catogory'!$A$125:$O$143,15,0)</f>
        <v>-86</v>
      </c>
      <c r="I8" s="135">
        <f>+VLOOKUP(A8,'Change Summary by catogory'!$A$125:$S$143,19,0)</f>
        <v>-10</v>
      </c>
      <c r="J8" s="136">
        <f t="shared" si="1"/>
        <v>-96</v>
      </c>
      <c r="K8" s="138"/>
      <c r="L8" s="135"/>
      <c r="M8" s="135"/>
    </row>
    <row r="9" spans="2:13" ht="13.5" thickBot="1">
      <c r="B9" s="139" t="s">
        <v>205</v>
      </c>
      <c r="C9" s="140">
        <f>+SUM(C3:C8)</f>
        <v>0</v>
      </c>
      <c r="D9" s="140">
        <f>+SUM(D3:D8)</f>
        <v>0</v>
      </c>
      <c r="E9" s="140">
        <f>+SUM(E3:E8)</f>
        <v>0</v>
      </c>
      <c r="F9" s="140">
        <f>+SUM(F3:F8)</f>
        <v>0</v>
      </c>
      <c r="G9" s="137"/>
      <c r="H9" s="140">
        <f>+SUM(H3:H8)</f>
        <v>-16.537000000000006</v>
      </c>
      <c r="I9" s="140">
        <f>+SUM(I3:I8)</f>
        <v>-16.207</v>
      </c>
      <c r="J9" s="140">
        <f>+SUM(J3:J8)</f>
        <v>-32.74400000000001</v>
      </c>
      <c r="K9" s="137"/>
      <c r="L9" s="140">
        <v>-33.932</v>
      </c>
      <c r="M9" s="141">
        <f>+(F9+J9)-L9</f>
        <v>1.1879999999999953</v>
      </c>
    </row>
    <row r="10" spans="3:13" ht="12.75">
      <c r="C10" s="135"/>
      <c r="D10" s="135"/>
      <c r="E10" s="135"/>
      <c r="F10" s="136"/>
      <c r="G10" s="137"/>
      <c r="H10" s="135"/>
      <c r="I10" s="135"/>
      <c r="J10" s="136"/>
      <c r="K10" s="138"/>
      <c r="L10" s="135"/>
      <c r="M10" s="135"/>
    </row>
    <row r="11" spans="1:13" ht="12.75" outlineLevel="1">
      <c r="A11" s="132" t="s">
        <v>35</v>
      </c>
      <c r="B11" s="131" t="s">
        <v>10</v>
      </c>
      <c r="C11" s="135">
        <f>+VLOOKUP(A11,'Change Summary by catogory'!$A$5:$D$23,4,0)</f>
        <v>0</v>
      </c>
      <c r="D11" s="135">
        <f>+VLOOKUP(A11,'Change Summary by catogory'!$A$5:$H$23,8,0)</f>
        <v>0</v>
      </c>
      <c r="E11" s="135">
        <f>+VLOOKUP(A11,'Change Summary by catogory'!$A$5:$L$23,12,0)</f>
        <v>0</v>
      </c>
      <c r="F11" s="136">
        <f aca="true" t="shared" si="2" ref="F11:F16">+SUM(C11:E11)</f>
        <v>0</v>
      </c>
      <c r="G11" s="137"/>
      <c r="H11" s="135">
        <f>+VLOOKUP(A11,'Change Summary by catogory'!$A$5:$O$23,15,0)</f>
        <v>0</v>
      </c>
      <c r="I11" s="135">
        <f>+VLOOKUP(A11,'Change Summary by catogory'!$A$5:$S$23,19,0)</f>
        <v>0</v>
      </c>
      <c r="J11" s="136">
        <f aca="true" t="shared" si="3" ref="J11:J16">+SUM(H11:I11)</f>
        <v>0</v>
      </c>
      <c r="K11" s="138"/>
      <c r="L11" s="135"/>
      <c r="M11" s="135"/>
    </row>
    <row r="12" spans="1:13" ht="12.75" outlineLevel="1">
      <c r="A12" s="132" t="s">
        <v>35</v>
      </c>
      <c r="B12" s="131" t="s">
        <v>1</v>
      </c>
      <c r="C12" s="135">
        <f>+VLOOKUP(A12,'Change Summary by catogory'!$A$29:$D$47,4,0)</f>
        <v>-20</v>
      </c>
      <c r="D12" s="135">
        <f>+VLOOKUP(A12,'Change Summary by catogory'!$A$29:$H$47,8,0)</f>
        <v>0</v>
      </c>
      <c r="E12" s="135">
        <f>+VLOOKUP(A12,'Change Summary by catogory'!$A$29:$L$47,12,0)</f>
        <v>0</v>
      </c>
      <c r="F12" s="136">
        <f t="shared" si="2"/>
        <v>-20</v>
      </c>
      <c r="G12" s="137"/>
      <c r="H12" s="135">
        <f>+VLOOKUP(A12,'Change Summary by catogory'!$A$29:$O$47,15,0)</f>
        <v>0</v>
      </c>
      <c r="I12" s="135">
        <f>+VLOOKUP(A12,'Change Summary by catogory'!$A$29:$S$47,19,0)</f>
        <v>0</v>
      </c>
      <c r="J12" s="136">
        <f t="shared" si="3"/>
        <v>0</v>
      </c>
      <c r="K12" s="138"/>
      <c r="L12" s="135"/>
      <c r="M12" s="135"/>
    </row>
    <row r="13" spans="1:13" ht="12.75" outlineLevel="1">
      <c r="A13" s="132" t="s">
        <v>35</v>
      </c>
      <c r="B13" s="131" t="s">
        <v>203</v>
      </c>
      <c r="C13" s="135">
        <f>+VLOOKUP(A13,'Change Summary by catogory'!$A$53:$D$71,4,0)</f>
        <v>-5</v>
      </c>
      <c r="D13" s="135">
        <f>+VLOOKUP(A13,'Change Summary by catogory'!$A$53:$H$66,8,0)</f>
        <v>-15</v>
      </c>
      <c r="E13" s="135">
        <f>+VLOOKUP(A13,'Change Summary by catogory'!$A$53:$L$71,12,0)</f>
        <v>-2</v>
      </c>
      <c r="F13" s="136">
        <f t="shared" si="2"/>
        <v>-22</v>
      </c>
      <c r="G13" s="137"/>
      <c r="H13" s="135">
        <f>+VLOOKUP(A13,'Change Summary by catogory'!$A$53:$O$71,15,0)</f>
        <v>-103</v>
      </c>
      <c r="I13" s="135">
        <f>+VLOOKUP(A13,'Change Summary by catogory'!$A$53:$S$71,19,0)</f>
        <v>0</v>
      </c>
      <c r="J13" s="136">
        <f t="shared" si="3"/>
        <v>-103</v>
      </c>
      <c r="K13" s="138"/>
      <c r="L13" s="135"/>
      <c r="M13" s="135"/>
    </row>
    <row r="14" spans="1:13" ht="12.75" outlineLevel="1">
      <c r="A14" s="132" t="s">
        <v>35</v>
      </c>
      <c r="B14" s="131" t="s">
        <v>204</v>
      </c>
      <c r="C14" s="135">
        <f>+VLOOKUP(A14,'Change Summary by catogory'!$A$77:$D$95,4,0)</f>
        <v>50</v>
      </c>
      <c r="D14" s="135">
        <f>+VLOOKUP(A14,'Change Summary by catogory'!$A$77:$H$95,8,0)</f>
        <v>0</v>
      </c>
      <c r="E14" s="135">
        <f>+VLOOKUP(A14,'Change Summary by catogory'!$A$77:$L$95,12,0)</f>
        <v>0</v>
      </c>
      <c r="F14" s="136">
        <f t="shared" si="2"/>
        <v>50</v>
      </c>
      <c r="G14" s="137"/>
      <c r="H14" s="135">
        <f>+VLOOKUP(A14,'Change Summary by catogory'!$A$77:$O$95,15,0)</f>
        <v>0</v>
      </c>
      <c r="I14" s="135">
        <f>+VLOOKUP(A14,'Change Summary by catogory'!$A$77:$S$95,19,0)</f>
        <v>0</v>
      </c>
      <c r="J14" s="136">
        <f t="shared" si="3"/>
        <v>0</v>
      </c>
      <c r="K14" s="138"/>
      <c r="L14" s="135"/>
      <c r="M14" s="135"/>
    </row>
    <row r="15" spans="1:13" ht="12.75" outlineLevel="1">
      <c r="A15" s="132" t="s">
        <v>35</v>
      </c>
      <c r="B15" s="131" t="s">
        <v>196</v>
      </c>
      <c r="C15" s="135">
        <f>+VLOOKUP(A15,'Change Summary by catogory'!$A$101:$D$119,4,0)</f>
        <v>-50</v>
      </c>
      <c r="D15" s="135">
        <f>+VLOOKUP(A15,'Change Summary by catogory'!$A$101:$H$119,8,0)</f>
        <v>0</v>
      </c>
      <c r="E15" s="135">
        <f>+VLOOKUP(A15,'Change Summary by catogory'!$A$101:$L$119,12,0)</f>
        <v>0</v>
      </c>
      <c r="F15" s="136">
        <f t="shared" si="2"/>
        <v>-50</v>
      </c>
      <c r="G15" s="137"/>
      <c r="H15" s="135">
        <f>+VLOOKUP(A15,'Change Summary by catogory'!$A$101:$O$119,15,)</f>
        <v>-200</v>
      </c>
      <c r="I15" s="135">
        <f>+VLOOKUP(A16,'Change Summary by catogory'!$A$101:$S$119,19,0)</f>
        <v>0</v>
      </c>
      <c r="J15" s="136">
        <f t="shared" si="3"/>
        <v>-200</v>
      </c>
      <c r="K15" s="138"/>
      <c r="L15" s="135"/>
      <c r="M15" s="135"/>
    </row>
    <row r="16" spans="1:13" ht="12.75" outlineLevel="1">
      <c r="A16" s="132" t="s">
        <v>35</v>
      </c>
      <c r="B16" s="131" t="s">
        <v>5</v>
      </c>
      <c r="C16" s="135">
        <f>+VLOOKUP(A16,'Change Summary by catogory'!$A$125:$D$143,4,0)</f>
        <v>0</v>
      </c>
      <c r="D16" s="135">
        <f>+VLOOKUP(A16,'Change Summary by catogory'!$A$125:$H$143,8,0)</f>
        <v>0</v>
      </c>
      <c r="E16" s="135">
        <f>+VLOOKUP(A16,'Change Summary by catogory'!$A$125:$L$143,12,0)</f>
        <v>0</v>
      </c>
      <c r="F16" s="136">
        <f t="shared" si="2"/>
        <v>0</v>
      </c>
      <c r="G16" s="137"/>
      <c r="H16" s="135">
        <f>+VLOOKUP(A16,'Change Summary by catogory'!$A$125:$O$143,15,0)</f>
        <v>0</v>
      </c>
      <c r="I16" s="135">
        <f>+VLOOKUP(A16,'Change Summary by catogory'!$A$125:$S$143,19,0)</f>
        <v>0</v>
      </c>
      <c r="J16" s="136">
        <f t="shared" si="3"/>
        <v>0</v>
      </c>
      <c r="K16" s="138"/>
      <c r="L16" s="135"/>
      <c r="M16" s="135"/>
    </row>
    <row r="17" spans="2:13" ht="13.5" thickBot="1">
      <c r="B17" s="139" t="s">
        <v>206</v>
      </c>
      <c r="C17" s="140">
        <f>+SUM(C11:C16)</f>
        <v>-25</v>
      </c>
      <c r="D17" s="140">
        <f>+SUM(D11:D16)</f>
        <v>-15</v>
      </c>
      <c r="E17" s="140">
        <f>+SUM(E11:E16)</f>
        <v>-2</v>
      </c>
      <c r="F17" s="140">
        <f>+SUM(F11:F16)</f>
        <v>-42</v>
      </c>
      <c r="G17" s="137"/>
      <c r="H17" s="140">
        <f>+SUM(H11:H16)</f>
        <v>-303</v>
      </c>
      <c r="I17" s="140">
        <f>+SUM(I11:I16)</f>
        <v>0</v>
      </c>
      <c r="J17" s="140">
        <f>+SUM(J11:J16)</f>
        <v>-303</v>
      </c>
      <c r="K17" s="137"/>
      <c r="L17" s="140">
        <v>-345.317</v>
      </c>
      <c r="M17" s="141">
        <f>+(F17+J17)-L17</f>
        <v>0.3170000000000073</v>
      </c>
    </row>
    <row r="18" spans="3:13" ht="12.75">
      <c r="C18" s="135"/>
      <c r="D18" s="135"/>
      <c r="E18" s="135"/>
      <c r="F18" s="136"/>
      <c r="G18" s="137"/>
      <c r="H18" s="135"/>
      <c r="I18" s="135"/>
      <c r="J18" s="136"/>
      <c r="K18" s="138"/>
      <c r="L18" s="135"/>
      <c r="M18" s="135"/>
    </row>
    <row r="19" spans="1:13" ht="12.75" outlineLevel="1">
      <c r="A19" s="132" t="s">
        <v>191</v>
      </c>
      <c r="B19" s="131" t="s">
        <v>10</v>
      </c>
      <c r="C19" s="135">
        <f>+VLOOKUP(A19,'Change Summary by catogory'!$A$5:$D$23,4,0)</f>
        <v>0</v>
      </c>
      <c r="D19" s="135">
        <f>+VLOOKUP(A19,'Change Summary by catogory'!$A$5:$H$23,8,0)</f>
        <v>0</v>
      </c>
      <c r="E19" s="135">
        <f>+VLOOKUP(A19,'Change Summary by catogory'!$A$5:$L$23,12,0)</f>
        <v>0</v>
      </c>
      <c r="F19" s="136">
        <f aca="true" t="shared" si="4" ref="F19:F24">+SUM(C19:E19)</f>
        <v>0</v>
      </c>
      <c r="G19" s="137"/>
      <c r="H19" s="135">
        <f>+VLOOKUP(A19,'Change Summary by catogory'!$A$5:$O$23,15,0)</f>
        <v>0</v>
      </c>
      <c r="I19" s="135">
        <f>+VLOOKUP(A19,'Change Summary by catogory'!$A$5:$S$23,19,0)</f>
        <v>0</v>
      </c>
      <c r="J19" s="136">
        <f aca="true" t="shared" si="5" ref="J19:J24">+SUM(H19:I19)</f>
        <v>0</v>
      </c>
      <c r="K19" s="138"/>
      <c r="L19" s="135"/>
      <c r="M19" s="135"/>
    </row>
    <row r="20" spans="1:13" ht="12.75" outlineLevel="1">
      <c r="A20" s="132" t="s">
        <v>191</v>
      </c>
      <c r="B20" s="131" t="s">
        <v>1</v>
      </c>
      <c r="C20" s="135">
        <f>+VLOOKUP(A20,'Change Summary by catogory'!$A$29:$D$47,4,0)</f>
        <v>0</v>
      </c>
      <c r="D20" s="135">
        <f>+VLOOKUP(A20,'Change Summary by catogory'!$A$29:$H$47,8,0)</f>
        <v>0</v>
      </c>
      <c r="E20" s="135">
        <f>+VLOOKUP(A20,'Change Summary by catogory'!$A$29:$L$47,12,0)</f>
        <v>0</v>
      </c>
      <c r="F20" s="136">
        <f t="shared" si="4"/>
        <v>0</v>
      </c>
      <c r="G20" s="137"/>
      <c r="H20" s="135">
        <f>+VLOOKUP(A20,'Change Summary by catogory'!$A$29:$O$47,15,0)</f>
        <v>0</v>
      </c>
      <c r="I20" s="135">
        <f>+VLOOKUP(A20,'Change Summary by catogory'!$A$29:$S$47,19,0)</f>
        <v>0</v>
      </c>
      <c r="J20" s="136">
        <f t="shared" si="5"/>
        <v>0</v>
      </c>
      <c r="K20" s="138"/>
      <c r="L20" s="135"/>
      <c r="M20" s="135"/>
    </row>
    <row r="21" spans="1:13" ht="12.75" outlineLevel="1">
      <c r="A21" s="132" t="s">
        <v>191</v>
      </c>
      <c r="B21" s="131" t="s">
        <v>203</v>
      </c>
      <c r="C21" s="135">
        <f>+VLOOKUP(A21,'Change Summary by catogory'!$A$53:$D$71,4,0)</f>
        <v>-8</v>
      </c>
      <c r="D21" s="135">
        <f>+VLOOKUP(A21,'Change Summary by catogory'!$A$53:$H$66,8,0)</f>
        <v>0</v>
      </c>
      <c r="E21" s="135">
        <f>+VLOOKUP(A21,'Change Summary by catogory'!$A$53:$L$71,12,0)</f>
        <v>0</v>
      </c>
      <c r="F21" s="136">
        <f t="shared" si="4"/>
        <v>-8</v>
      </c>
      <c r="G21" s="137"/>
      <c r="H21" s="135">
        <f>+VLOOKUP(A21,'Change Summary by catogory'!$A$53:$O$71,15,0)</f>
        <v>0</v>
      </c>
      <c r="I21" s="135">
        <f>+VLOOKUP(A21,'Change Summary by catogory'!$A$53:$S$71,19,0)</f>
        <v>-20.299</v>
      </c>
      <c r="J21" s="136">
        <f t="shared" si="5"/>
        <v>-20.299</v>
      </c>
      <c r="K21" s="138"/>
      <c r="L21" s="135"/>
      <c r="M21" s="135"/>
    </row>
    <row r="22" spans="1:13" ht="12.75" outlineLevel="1">
      <c r="A22" s="132" t="s">
        <v>191</v>
      </c>
      <c r="B22" s="131" t="s">
        <v>204</v>
      </c>
      <c r="C22" s="135">
        <f>+VLOOKUP(A22,'Change Summary by catogory'!$A$77:$D$95,4,0)</f>
        <v>0</v>
      </c>
      <c r="D22" s="135">
        <f>+VLOOKUP(A22,'Change Summary by catogory'!$A$77:$H$95,8,0)</f>
        <v>0</v>
      </c>
      <c r="E22" s="135">
        <f>+VLOOKUP(A22,'Change Summary by catogory'!$A$77:$L$95,12,0)</f>
        <v>0</v>
      </c>
      <c r="F22" s="136">
        <f t="shared" si="4"/>
        <v>0</v>
      </c>
      <c r="G22" s="137"/>
      <c r="H22" s="135">
        <f>+VLOOKUP(A22,'Change Summary by catogory'!$A$77:$O$95,15,0)</f>
        <v>0</v>
      </c>
      <c r="I22" s="135">
        <f>+VLOOKUP(A22,'Change Summary by catogory'!$A$77:$S$95,19,0)</f>
        <v>0</v>
      </c>
      <c r="J22" s="136">
        <f t="shared" si="5"/>
        <v>0</v>
      </c>
      <c r="K22" s="138"/>
      <c r="L22" s="135"/>
      <c r="M22" s="135"/>
    </row>
    <row r="23" spans="1:13" ht="12.75" outlineLevel="1">
      <c r="A23" s="132" t="s">
        <v>191</v>
      </c>
      <c r="B23" s="131" t="s">
        <v>196</v>
      </c>
      <c r="C23" s="135">
        <f>+VLOOKUP(A23,'Change Summary by catogory'!$A$101:$D$119,4,0)</f>
        <v>0</v>
      </c>
      <c r="D23" s="135">
        <f>+VLOOKUP(A23,'Change Summary by catogory'!$A$101:$H$119,8,0)</f>
        <v>0</v>
      </c>
      <c r="E23" s="135">
        <f>+VLOOKUP(A23,'Change Summary by catogory'!$A$101:$L$119,12,0)</f>
        <v>0</v>
      </c>
      <c r="F23" s="136">
        <f t="shared" si="4"/>
        <v>0</v>
      </c>
      <c r="G23" s="137"/>
      <c r="H23" s="135">
        <f>+VLOOKUP(A23,'Change Summary by catogory'!$A$101:$O$119,15,)</f>
        <v>0</v>
      </c>
      <c r="I23" s="135">
        <f>+VLOOKUP(A24,'Change Summary by catogory'!$A$101:$S$119,19,0)</f>
        <v>0</v>
      </c>
      <c r="J23" s="136">
        <f t="shared" si="5"/>
        <v>0</v>
      </c>
      <c r="K23" s="138"/>
      <c r="L23" s="135"/>
      <c r="M23" s="135"/>
    </row>
    <row r="24" spans="1:13" ht="12.75" outlineLevel="1">
      <c r="A24" s="132" t="s">
        <v>191</v>
      </c>
      <c r="B24" s="131" t="s">
        <v>5</v>
      </c>
      <c r="C24" s="135">
        <f>+VLOOKUP(A24,'Change Summary by catogory'!$A$125:$D$143,4,0)</f>
        <v>8</v>
      </c>
      <c r="D24" s="135">
        <f>+VLOOKUP(A24,'Change Summary by catogory'!$A$125:$H$143,8,0)</f>
        <v>-40</v>
      </c>
      <c r="E24" s="135">
        <f>+VLOOKUP(A24,'Change Summary by catogory'!$A$125:$L$143,12,0)</f>
        <v>11</v>
      </c>
      <c r="F24" s="136">
        <f t="shared" si="4"/>
        <v>-21</v>
      </c>
      <c r="G24" s="137"/>
      <c r="H24" s="135">
        <f>+VLOOKUP(A24,'Change Summary by catogory'!$A$125:$O$143,15,0)</f>
        <v>-19.487</v>
      </c>
      <c r="I24" s="135">
        <f>+VLOOKUP(A24,'Change Summary by catogory'!$A$125:$S$143,19,0)</f>
        <v>-50</v>
      </c>
      <c r="J24" s="136">
        <f t="shared" si="5"/>
        <v>-69.487</v>
      </c>
      <c r="K24" s="138"/>
      <c r="L24" s="135"/>
      <c r="M24" s="135"/>
    </row>
    <row r="25" spans="2:13" ht="13.5" thickBot="1">
      <c r="B25" s="139" t="s">
        <v>207</v>
      </c>
      <c r="C25" s="140">
        <f>+SUM(C19:C24)</f>
        <v>0</v>
      </c>
      <c r="D25" s="140">
        <f>+SUM(D19:D24)</f>
        <v>-40</v>
      </c>
      <c r="E25" s="140">
        <f>+SUM(E19:E24)</f>
        <v>11</v>
      </c>
      <c r="F25" s="140">
        <f>+SUM(F19:F24)</f>
        <v>-29</v>
      </c>
      <c r="G25" s="137"/>
      <c r="H25" s="140">
        <f>+SUM(H19:H24)</f>
        <v>-19.487</v>
      </c>
      <c r="I25" s="140">
        <f>+SUM(I19:I24)</f>
        <v>-70.299</v>
      </c>
      <c r="J25" s="140">
        <f>+SUM(J19:J24)</f>
        <v>-89.786</v>
      </c>
      <c r="K25" s="137"/>
      <c r="L25" s="140">
        <v>-261</v>
      </c>
      <c r="M25" s="141">
        <f>+(F25+J25)-L25</f>
        <v>142.214</v>
      </c>
    </row>
    <row r="26" spans="3:13" ht="12.75">
      <c r="C26" s="135"/>
      <c r="D26" s="135"/>
      <c r="E26" s="135"/>
      <c r="F26" s="136"/>
      <c r="G26" s="137"/>
      <c r="H26" s="135"/>
      <c r="I26" s="135"/>
      <c r="J26" s="136"/>
      <c r="K26" s="138"/>
      <c r="L26" s="135"/>
      <c r="M26" s="135"/>
    </row>
    <row r="27" spans="2:15" s="142" customFormat="1" ht="16.5" thickBot="1">
      <c r="B27" s="143" t="s">
        <v>24</v>
      </c>
      <c r="C27" s="144">
        <f>+C25+C17+C9</f>
        <v>-25</v>
      </c>
      <c r="D27" s="144">
        <f>+D25+D17+D9</f>
        <v>-55</v>
      </c>
      <c r="E27" s="144">
        <f>+E25+E17+E9</f>
        <v>9</v>
      </c>
      <c r="F27" s="144">
        <f>+F25+F17+F9</f>
        <v>-71</v>
      </c>
      <c r="G27" s="145"/>
      <c r="H27" s="144">
        <f>+H25+H17+H9</f>
        <v>-339.024</v>
      </c>
      <c r="I27" s="144">
        <f>+I25+I17+I9</f>
        <v>-86.506</v>
      </c>
      <c r="J27" s="146">
        <f>+J25+J17+J9</f>
        <v>-425.53000000000003</v>
      </c>
      <c r="K27" s="145"/>
      <c r="L27" s="144">
        <f>+L25+L17+L9</f>
        <v>-640.249</v>
      </c>
      <c r="M27" s="144">
        <f>+(F27+J27)-L27</f>
        <v>143.719</v>
      </c>
      <c r="O27" s="147"/>
    </row>
    <row r="28" spans="3:13" ht="12.75">
      <c r="C28" s="135"/>
      <c r="D28" s="135"/>
      <c r="E28" s="135"/>
      <c r="F28" s="136"/>
      <c r="G28" s="137"/>
      <c r="H28" s="135"/>
      <c r="I28" s="135"/>
      <c r="J28" s="136"/>
      <c r="K28" s="138"/>
      <c r="L28" s="135"/>
      <c r="M28" s="135"/>
    </row>
    <row r="29" spans="1:13" ht="12.75" outlineLevel="1">
      <c r="A29" s="132" t="s">
        <v>7</v>
      </c>
      <c r="B29" s="131" t="s">
        <v>10</v>
      </c>
      <c r="C29" s="135">
        <f>+VLOOKUP(A29,'Change Summary by catogory'!$A$5:$D$23,4,0)</f>
        <v>0</v>
      </c>
      <c r="D29" s="135">
        <f>+VLOOKUP(A29,'Change Summary by catogory'!$A$5:$H$23,8,0)</f>
        <v>0</v>
      </c>
      <c r="E29" s="135">
        <f>+VLOOKUP(A29,'Change Summary by catogory'!$A$5:$L$23,12,0)</f>
        <v>0</v>
      </c>
      <c r="F29" s="136">
        <f aca="true" t="shared" si="6" ref="F29:F34">+SUM(C29:E29)</f>
        <v>0</v>
      </c>
      <c r="G29" s="137"/>
      <c r="H29" s="135">
        <f>+VLOOKUP(A29,'Change Summary by catogory'!$A$5:$O$23,15,0)</f>
        <v>0</v>
      </c>
      <c r="I29" s="135">
        <f>+VLOOKUP(A29,'Change Summary by catogory'!$A$5:$S$23,19,0)</f>
        <v>0</v>
      </c>
      <c r="J29" s="136">
        <f aca="true" t="shared" si="7" ref="J29:J34">+SUM(H29:I29)</f>
        <v>0</v>
      </c>
      <c r="K29" s="138"/>
      <c r="L29" s="135"/>
      <c r="M29" s="135"/>
    </row>
    <row r="30" spans="1:13" ht="12.75" outlineLevel="1">
      <c r="A30" s="132" t="s">
        <v>7</v>
      </c>
      <c r="B30" s="131" t="s">
        <v>1</v>
      </c>
      <c r="C30" s="135">
        <f>+VLOOKUP(A30,'Change Summary by catogory'!$A$29:$D$47,4,0)</f>
        <v>-83</v>
      </c>
      <c r="D30" s="135">
        <f>+VLOOKUP(A30,'Change Summary by catogory'!$A$29:$H$47,8,0)</f>
        <v>0</v>
      </c>
      <c r="E30" s="135">
        <f>+VLOOKUP(A30,'Change Summary by catogory'!$A$29:$L$47,12,0)</f>
        <v>0</v>
      </c>
      <c r="F30" s="136">
        <f t="shared" si="6"/>
        <v>-83</v>
      </c>
      <c r="G30" s="137"/>
      <c r="H30" s="135">
        <f>+VLOOKUP(A30,'Change Summary by catogory'!$A$29:$O$47,15,0)</f>
        <v>0</v>
      </c>
      <c r="I30" s="135">
        <f>+VLOOKUP(A30,'Change Summary by catogory'!$A$29:$S$47,19,0)</f>
        <v>0</v>
      </c>
      <c r="J30" s="136">
        <f t="shared" si="7"/>
        <v>0</v>
      </c>
      <c r="K30" s="138"/>
      <c r="L30" s="135"/>
      <c r="M30" s="135"/>
    </row>
    <row r="31" spans="1:13" ht="12.75" outlineLevel="1">
      <c r="A31" s="132" t="s">
        <v>7</v>
      </c>
      <c r="B31" s="131" t="s">
        <v>203</v>
      </c>
      <c r="C31" s="135">
        <f>+VLOOKUP(A31,'Change Summary by catogory'!$A$53:$D$71,4,0)</f>
        <v>-164.5</v>
      </c>
      <c r="D31" s="135">
        <f>+VLOOKUP(A31,'Change Summary by catogory'!$A$53:$H$66,8,0)</f>
        <v>-27.400000000000006</v>
      </c>
      <c r="E31" s="135">
        <f>+VLOOKUP(A31,'Change Summary by catogory'!$A$53:$L$71,12,0)</f>
        <v>131</v>
      </c>
      <c r="F31" s="136">
        <f t="shared" si="6"/>
        <v>-60.900000000000006</v>
      </c>
      <c r="G31" s="137"/>
      <c r="H31" s="135">
        <f>+VLOOKUP(A31,'Change Summary by catogory'!$A$53:$O$71,15,0)</f>
        <v>-40</v>
      </c>
      <c r="I31" s="135">
        <f>+VLOOKUP(A31,'Change Summary by catogory'!$A$53:$S$71,19,0)</f>
        <v>-40</v>
      </c>
      <c r="J31" s="136">
        <f t="shared" si="7"/>
        <v>-80</v>
      </c>
      <c r="K31" s="138"/>
      <c r="L31" s="135"/>
      <c r="M31" s="135"/>
    </row>
    <row r="32" spans="1:13" ht="12.75" outlineLevel="1">
      <c r="A32" s="132" t="s">
        <v>7</v>
      </c>
      <c r="B32" s="131" t="s">
        <v>204</v>
      </c>
      <c r="C32" s="135">
        <f>+VLOOKUP(A32,'Change Summary by catogory'!$A$77:$D$95,4,0)</f>
        <v>124</v>
      </c>
      <c r="D32" s="135">
        <f>+VLOOKUP(A32,'Change Summary by catogory'!$A$77:$H$95,8,0)</f>
        <v>70</v>
      </c>
      <c r="E32" s="135">
        <f>+VLOOKUP(A32,'Change Summary by catogory'!$A$77:$L$95,12,0)</f>
        <v>0</v>
      </c>
      <c r="F32" s="136">
        <f t="shared" si="6"/>
        <v>194</v>
      </c>
      <c r="G32" s="137"/>
      <c r="H32" s="135">
        <f>+VLOOKUP(A32,'Change Summary by catogory'!$A$77:$O$95,15,0)</f>
        <v>0</v>
      </c>
      <c r="I32" s="135">
        <f>+VLOOKUP(A32,'Change Summary by catogory'!$A$77:$S$95,19,0)</f>
        <v>0</v>
      </c>
      <c r="J32" s="136">
        <f t="shared" si="7"/>
        <v>0</v>
      </c>
      <c r="K32" s="138"/>
      <c r="L32" s="135"/>
      <c r="M32" s="135"/>
    </row>
    <row r="33" spans="1:13" ht="12.75" outlineLevel="1">
      <c r="A33" s="132" t="s">
        <v>7</v>
      </c>
      <c r="B33" s="131" t="s">
        <v>196</v>
      </c>
      <c r="C33" s="135">
        <f>+VLOOKUP(A33,'Change Summary by catogory'!$A$101:$D$119,4,0)</f>
        <v>0</v>
      </c>
      <c r="D33" s="135">
        <f>+VLOOKUP(A33,'Change Summary by catogory'!$A$101:$H$119,8,0)</f>
        <v>0</v>
      </c>
      <c r="E33" s="135">
        <f>+VLOOKUP(A33,'Change Summary by catogory'!$A$101:$L$119,12,0)</f>
        <v>0</v>
      </c>
      <c r="F33" s="136">
        <f t="shared" si="6"/>
        <v>0</v>
      </c>
      <c r="G33" s="137"/>
      <c r="H33" s="135">
        <f>+VLOOKUP(A33,'Change Summary by catogory'!$A$101:$O$119,15,)</f>
        <v>0</v>
      </c>
      <c r="I33" s="135">
        <f>+VLOOKUP(A34,'Change Summary by catogory'!$A$101:$S$119,19,0)</f>
        <v>0</v>
      </c>
      <c r="J33" s="136">
        <f t="shared" si="7"/>
        <v>0</v>
      </c>
      <c r="K33" s="138"/>
      <c r="L33" s="135"/>
      <c r="M33" s="135"/>
    </row>
    <row r="34" spans="1:13" ht="12.75" outlineLevel="1">
      <c r="A34" s="132" t="s">
        <v>7</v>
      </c>
      <c r="B34" s="131" t="s">
        <v>5</v>
      </c>
      <c r="C34" s="135">
        <f>+VLOOKUP(A34,'Change Summary by catogory'!$A$125:$D$143,4,0)</f>
        <v>13.099999999999994</v>
      </c>
      <c r="D34" s="135">
        <f>+VLOOKUP(A34,'Change Summary by catogory'!$A$125:$H$143,8,0)</f>
        <v>-7.9</v>
      </c>
      <c r="E34" s="135">
        <f>+VLOOKUP(A34,'Change Summary by catogory'!$A$125:$L$143,12,0)</f>
        <v>13.4</v>
      </c>
      <c r="F34" s="136">
        <f t="shared" si="6"/>
        <v>18.599999999999994</v>
      </c>
      <c r="G34" s="137"/>
      <c r="H34" s="135">
        <f>+VLOOKUP(A34,'Change Summary by catogory'!$A$125:$O$143,15,0)</f>
        <v>0</v>
      </c>
      <c r="I34" s="135">
        <f>+VLOOKUP(A34,'Change Summary by catogory'!$A$125:$S$143,19,0)</f>
        <v>0</v>
      </c>
      <c r="J34" s="136">
        <f t="shared" si="7"/>
        <v>0</v>
      </c>
      <c r="K34" s="138"/>
      <c r="L34" s="135"/>
      <c r="M34" s="135"/>
    </row>
    <row r="35" spans="1:13" ht="13.5" thickBot="1">
      <c r="A35" s="132"/>
      <c r="B35" s="139" t="s">
        <v>208</v>
      </c>
      <c r="C35" s="140">
        <f>+SUM(C29:C34)</f>
        <v>-110.4</v>
      </c>
      <c r="D35" s="140">
        <f>+SUM(D29:D34)</f>
        <v>34.699999999999996</v>
      </c>
      <c r="E35" s="140">
        <f>+SUM(E29:E34)</f>
        <v>144.4</v>
      </c>
      <c r="F35" s="140">
        <f>+SUM(F29:F34)</f>
        <v>68.69999999999999</v>
      </c>
      <c r="G35" s="137"/>
      <c r="H35" s="140">
        <f>+SUM(H29:H34)</f>
        <v>-40</v>
      </c>
      <c r="I35" s="140">
        <f>+SUM(I29:I34)</f>
        <v>-40</v>
      </c>
      <c r="J35" s="140">
        <f>+SUM(J29:J34)</f>
        <v>-80</v>
      </c>
      <c r="K35" s="137"/>
      <c r="L35" s="140">
        <v>-78.268</v>
      </c>
      <c r="M35" s="141">
        <f>+(F35+J35)-L35</f>
        <v>66.96799999999999</v>
      </c>
    </row>
    <row r="36" spans="1:13" ht="12.75">
      <c r="A36" s="132"/>
      <c r="C36" s="135"/>
      <c r="D36" s="135"/>
      <c r="E36" s="135"/>
      <c r="F36" s="136"/>
      <c r="G36" s="137"/>
      <c r="H36" s="135"/>
      <c r="I36" s="135"/>
      <c r="J36" s="136"/>
      <c r="K36" s="138"/>
      <c r="L36" s="135"/>
      <c r="M36" s="135"/>
    </row>
    <row r="37" spans="1:13" ht="12.75" outlineLevel="1">
      <c r="A37" s="132" t="s">
        <v>192</v>
      </c>
      <c r="B37" s="131" t="s">
        <v>10</v>
      </c>
      <c r="C37" s="135">
        <f>+VLOOKUP(A37,'Change Summary by catogory'!$A$5:$D$23,4,0)</f>
        <v>82.12181699999998</v>
      </c>
      <c r="D37" s="135">
        <f>+VLOOKUP(A37,'Change Summary by catogory'!$A$5:$H$23,8,0)</f>
        <v>87.66790785000002</v>
      </c>
      <c r="E37" s="135">
        <f>+VLOOKUP(A37,'Change Summary by catogory'!$A$5:$L$23,12,0)</f>
        <v>91.40130324250018</v>
      </c>
      <c r="F37" s="136">
        <f aca="true" t="shared" si="8" ref="F37:F42">+SUM(C37:E37)</f>
        <v>261.1910280925002</v>
      </c>
      <c r="G37" s="137"/>
      <c r="H37" s="135">
        <f>+VLOOKUP(A37,'Change Summary by catogory'!$A$5:$O$23,15,0)</f>
        <v>0</v>
      </c>
      <c r="I37" s="135">
        <f>+VLOOKUP(A37,'Change Summary by catogory'!$A$5:$S$23,19,0)</f>
        <v>0</v>
      </c>
      <c r="J37" s="136">
        <f aca="true" t="shared" si="9" ref="J37:J42">+SUM(H37:I37)</f>
        <v>0</v>
      </c>
      <c r="K37" s="138"/>
      <c r="L37" s="135"/>
      <c r="M37" s="135"/>
    </row>
    <row r="38" spans="1:13" ht="12.75" outlineLevel="1">
      <c r="A38" s="132" t="s">
        <v>192</v>
      </c>
      <c r="B38" s="131" t="s">
        <v>1</v>
      </c>
      <c r="C38" s="135">
        <f>+VLOOKUP(A38,'Change Summary by catogory'!$A$29:$D$47,4,0)</f>
        <v>17.400000000000006</v>
      </c>
      <c r="D38" s="135">
        <f>+VLOOKUP(A38,'Change Summary by catogory'!$A$29:$H$47,8,0)</f>
        <v>73</v>
      </c>
      <c r="E38" s="135">
        <f>+VLOOKUP(A38,'Change Summary by catogory'!$A$29:$L$47,12,0)</f>
        <v>0</v>
      </c>
      <c r="F38" s="136">
        <f t="shared" si="8"/>
        <v>90.4</v>
      </c>
      <c r="G38" s="137"/>
      <c r="H38" s="135">
        <f>+VLOOKUP(A38,'Change Summary by catogory'!$A$29:$O$47,15,0)</f>
        <v>0</v>
      </c>
      <c r="I38" s="135">
        <f>+VLOOKUP(A38,'Change Summary by catogory'!$A$29:$S$47,19,0)</f>
        <v>0</v>
      </c>
      <c r="J38" s="136">
        <f t="shared" si="9"/>
        <v>0</v>
      </c>
      <c r="K38" s="138"/>
      <c r="L38" s="135"/>
      <c r="M38" s="135"/>
    </row>
    <row r="39" spans="1:13" ht="12.75" outlineLevel="1">
      <c r="A39" s="132" t="s">
        <v>192</v>
      </c>
      <c r="B39" s="131" t="s">
        <v>203</v>
      </c>
      <c r="C39" s="135">
        <f>+VLOOKUP(A39,'Change Summary by catogory'!$A$53:$D$71,4,0)</f>
        <v>39.747</v>
      </c>
      <c r="D39" s="135">
        <f>+VLOOKUP(A39,'Change Summary by catogory'!$A$53:$H$66,8,0)</f>
        <v>0</v>
      </c>
      <c r="E39" s="135">
        <f>+VLOOKUP(A39,'Change Summary by catogory'!$A$53:$L$71,12,0)</f>
        <v>0</v>
      </c>
      <c r="F39" s="136">
        <f t="shared" si="8"/>
        <v>39.747</v>
      </c>
      <c r="G39" s="137"/>
      <c r="H39" s="135">
        <f>+VLOOKUP(A39,'Change Summary by catogory'!$A$53:$O$71,15,0)</f>
        <v>-200</v>
      </c>
      <c r="I39" s="135">
        <f>+VLOOKUP(A39,'Change Summary by catogory'!$A$53:$S$71,19,0)</f>
        <v>0</v>
      </c>
      <c r="J39" s="136">
        <f t="shared" si="9"/>
        <v>-200</v>
      </c>
      <c r="K39" s="138"/>
      <c r="L39" s="135"/>
      <c r="M39" s="135"/>
    </row>
    <row r="40" spans="1:13" ht="12.75" outlineLevel="1">
      <c r="A40" s="132" t="s">
        <v>192</v>
      </c>
      <c r="B40" s="131" t="s">
        <v>204</v>
      </c>
      <c r="C40" s="135">
        <f>+VLOOKUP(A40,'Change Summary by catogory'!$A$77:$D$95,4,0)</f>
        <v>0</v>
      </c>
      <c r="D40" s="135">
        <f>+VLOOKUP(A40,'Change Summary by catogory'!$A$77:$H$95,8,0)</f>
        <v>0</v>
      </c>
      <c r="E40" s="135">
        <f>+VLOOKUP(A40,'Change Summary by catogory'!$A$77:$L$95,12,0)</f>
        <v>0</v>
      </c>
      <c r="F40" s="136">
        <f t="shared" si="8"/>
        <v>0</v>
      </c>
      <c r="G40" s="137"/>
      <c r="H40" s="135">
        <f>+VLOOKUP(A40,'Change Summary by catogory'!$A$77:$O$95,15,0)</f>
        <v>0</v>
      </c>
      <c r="I40" s="135">
        <f>+VLOOKUP(A40,'Change Summary by catogory'!$A$77:$S$95,19,0)</f>
        <v>0</v>
      </c>
      <c r="J40" s="136">
        <f t="shared" si="9"/>
        <v>0</v>
      </c>
      <c r="K40" s="138"/>
      <c r="L40" s="135"/>
      <c r="M40" s="135"/>
    </row>
    <row r="41" spans="1:13" ht="12.75" outlineLevel="1">
      <c r="A41" s="132" t="s">
        <v>192</v>
      </c>
      <c r="B41" s="131" t="s">
        <v>196</v>
      </c>
      <c r="C41" s="135">
        <f>+VLOOKUP(A41,'Change Summary by catogory'!$A$101:$D$119,4,0)</f>
        <v>0</v>
      </c>
      <c r="D41" s="135">
        <f>+VLOOKUP(A41,'Change Summary by catogory'!$A$101:$H$119,8,0)</f>
        <v>0</v>
      </c>
      <c r="E41" s="135">
        <f>+VLOOKUP(A41,'Change Summary by catogory'!$A$101:$L$119,12,0)</f>
        <v>0</v>
      </c>
      <c r="F41" s="136">
        <f t="shared" si="8"/>
        <v>0</v>
      </c>
      <c r="G41" s="137"/>
      <c r="H41" s="135">
        <f>+VLOOKUP(A41,'Change Summary by catogory'!$A$101:$O$119,15,)</f>
        <v>0</v>
      </c>
      <c r="I41" s="135">
        <f>+VLOOKUP(A42,'Change Summary by catogory'!$A$101:$S$119,19,0)</f>
        <v>0</v>
      </c>
      <c r="J41" s="136">
        <f t="shared" si="9"/>
        <v>0</v>
      </c>
      <c r="K41" s="138"/>
      <c r="L41" s="135"/>
      <c r="M41" s="135"/>
    </row>
    <row r="42" spans="1:13" ht="12.75" outlineLevel="1">
      <c r="A42" s="132" t="s">
        <v>192</v>
      </c>
      <c r="B42" s="131" t="s">
        <v>5</v>
      </c>
      <c r="C42" s="135">
        <f>+VLOOKUP(A42,'Change Summary by catogory'!$A$125:$D$143,4,0)</f>
        <v>0</v>
      </c>
      <c r="D42" s="135">
        <f>+VLOOKUP(A42,'Change Summary by catogory'!$A$125:$H$143,8,0)</f>
        <v>0</v>
      </c>
      <c r="E42" s="135">
        <f>+VLOOKUP(A42,'Change Summary by catogory'!$A$125:$L$143,12,0)</f>
        <v>0</v>
      </c>
      <c r="F42" s="136">
        <f t="shared" si="8"/>
        <v>0</v>
      </c>
      <c r="G42" s="137"/>
      <c r="H42" s="135">
        <f>+VLOOKUP(A42,'Change Summary by catogory'!$A$125:$O$143,15,0)</f>
        <v>0</v>
      </c>
      <c r="I42" s="135">
        <f>+VLOOKUP(A42,'Change Summary by catogory'!$A$125:$S$143,19,0)</f>
        <v>0</v>
      </c>
      <c r="J42" s="136">
        <f t="shared" si="9"/>
        <v>0</v>
      </c>
      <c r="K42" s="138"/>
      <c r="L42" s="135"/>
      <c r="M42" s="135"/>
    </row>
    <row r="43" spans="1:15" ht="13.5" thickBot="1">
      <c r="A43" s="132"/>
      <c r="B43" s="139" t="s">
        <v>209</v>
      </c>
      <c r="C43" s="140">
        <f>+SUM(C37:C42)</f>
        <v>139.26881699999998</v>
      </c>
      <c r="D43" s="140">
        <f>+SUM(D37:D42)</f>
        <v>160.66790785</v>
      </c>
      <c r="E43" s="140">
        <f>+SUM(E37:E42)</f>
        <v>91.40130324250018</v>
      </c>
      <c r="F43" s="140">
        <f>+SUM(F37:F42)</f>
        <v>391.3380280925002</v>
      </c>
      <c r="G43" s="137"/>
      <c r="H43" s="140">
        <f>+SUM(H37:H42)</f>
        <v>-200</v>
      </c>
      <c r="I43" s="140">
        <f>+SUM(I37:I42)</f>
        <v>0</v>
      </c>
      <c r="J43" s="140">
        <f>+SUM(J37:J42)</f>
        <v>-200</v>
      </c>
      <c r="K43" s="137"/>
      <c r="L43" s="140">
        <v>-63</v>
      </c>
      <c r="M43" s="141">
        <f>+(F43+J43)-L43</f>
        <v>254.33802809250022</v>
      </c>
      <c r="O43" s="126" t="s">
        <v>240</v>
      </c>
    </row>
    <row r="44" spans="1:13" ht="12.75">
      <c r="A44" s="132"/>
      <c r="C44" s="135"/>
      <c r="D44" s="135"/>
      <c r="E44" s="135"/>
      <c r="F44" s="136"/>
      <c r="G44" s="137"/>
      <c r="H44" s="135"/>
      <c r="I44" s="135"/>
      <c r="J44" s="136"/>
      <c r="K44" s="138"/>
      <c r="L44" s="135"/>
      <c r="M44" s="135"/>
    </row>
    <row r="45" spans="1:13" ht="12.75" outlineLevel="1">
      <c r="A45" s="132" t="s">
        <v>148</v>
      </c>
      <c r="B45" s="131" t="s">
        <v>10</v>
      </c>
      <c r="C45" s="135">
        <f>+VLOOKUP(A45,'Change Summary by catogory'!$A$5:$D$23,4,0)</f>
        <v>0</v>
      </c>
      <c r="D45" s="135">
        <f>+VLOOKUP(A45,'Change Summary by catogory'!$A$5:$H$23,8,0)</f>
        <v>0</v>
      </c>
      <c r="E45" s="135">
        <f>+VLOOKUP(A45,'Change Summary by catogory'!$A$5:$L$23,12,0)</f>
        <v>0</v>
      </c>
      <c r="F45" s="136">
        <f aca="true" t="shared" si="10" ref="F45:F50">+SUM(C45:E45)</f>
        <v>0</v>
      </c>
      <c r="G45" s="137"/>
      <c r="H45" s="135">
        <f>+VLOOKUP(A45,'Change Summary by catogory'!$A$5:$O$23,15,0)</f>
        <v>0</v>
      </c>
      <c r="I45" s="135">
        <f>+VLOOKUP(A45,'Change Summary by catogory'!$A$5:$S$23,19,0)</f>
        <v>0</v>
      </c>
      <c r="J45" s="136">
        <f aca="true" t="shared" si="11" ref="J45:J50">+SUM(H45:I45)</f>
        <v>0</v>
      </c>
      <c r="K45" s="138"/>
      <c r="L45" s="135"/>
      <c r="M45" s="135"/>
    </row>
    <row r="46" spans="1:13" ht="12.75" outlineLevel="1">
      <c r="A46" s="132" t="s">
        <v>148</v>
      </c>
      <c r="B46" s="131" t="s">
        <v>1</v>
      </c>
      <c r="C46" s="135">
        <f>+VLOOKUP(A46,'Change Summary by catogory'!$A$29:$D$47,4,0)</f>
        <v>0</v>
      </c>
      <c r="D46" s="135">
        <f>+VLOOKUP(A46,'Change Summary by catogory'!$A$29:$H$47,8,0)</f>
        <v>0</v>
      </c>
      <c r="E46" s="135">
        <f>+VLOOKUP(A46,'Change Summary by catogory'!$A$29:$L$47,12,0)</f>
        <v>0</v>
      </c>
      <c r="F46" s="136">
        <f t="shared" si="10"/>
        <v>0</v>
      </c>
      <c r="G46" s="137"/>
      <c r="H46" s="135">
        <f>+VLOOKUP(A46,'Change Summary by catogory'!$A$29:$O$47,15,0)</f>
        <v>0</v>
      </c>
      <c r="I46" s="135">
        <f>+VLOOKUP(A46,'Change Summary by catogory'!$A$29:$S$47,19,0)</f>
        <v>0</v>
      </c>
      <c r="J46" s="136">
        <f t="shared" si="11"/>
        <v>0</v>
      </c>
      <c r="K46" s="138"/>
      <c r="L46" s="135"/>
      <c r="M46" s="135"/>
    </row>
    <row r="47" spans="1:13" ht="12.75" outlineLevel="1">
      <c r="A47" s="132" t="s">
        <v>148</v>
      </c>
      <c r="B47" s="131" t="s">
        <v>203</v>
      </c>
      <c r="C47" s="135">
        <f>+VLOOKUP(A47,'Change Summary by catogory'!$A$53:$D$71,4,0)</f>
        <v>0</v>
      </c>
      <c r="D47" s="135">
        <f>+VLOOKUP(A47,'Change Summary by catogory'!$A$53:$H$66,8,0)</f>
        <v>0</v>
      </c>
      <c r="E47" s="135">
        <f>+VLOOKUP(A47,'Change Summary by catogory'!$A$53:$L$71,12,0)</f>
        <v>0</v>
      </c>
      <c r="F47" s="136">
        <f t="shared" si="10"/>
        <v>0</v>
      </c>
      <c r="G47" s="137"/>
      <c r="H47" s="135">
        <f>+VLOOKUP(A47,'Change Summary by catogory'!$A$53:$O$71,15,0)</f>
        <v>-20</v>
      </c>
      <c r="I47" s="135">
        <f>+VLOOKUP(A47,'Change Summary by catogory'!$A$53:$S$71,19,0)</f>
        <v>-10</v>
      </c>
      <c r="J47" s="136">
        <f t="shared" si="11"/>
        <v>-30</v>
      </c>
      <c r="K47" s="138"/>
      <c r="L47" s="135"/>
      <c r="M47" s="135"/>
    </row>
    <row r="48" spans="1:13" ht="12.75" outlineLevel="1">
      <c r="A48" s="132" t="s">
        <v>148</v>
      </c>
      <c r="B48" s="131" t="s">
        <v>204</v>
      </c>
      <c r="C48" s="135">
        <f>+VLOOKUP(A48,'Change Summary by catogory'!$A$77:$D$95,4,0)</f>
        <v>0</v>
      </c>
      <c r="D48" s="135">
        <f>+VLOOKUP(A48,'Change Summary by catogory'!$A$77:$H$95,8,0)</f>
        <v>0</v>
      </c>
      <c r="E48" s="135">
        <f>+VLOOKUP(A48,'Change Summary by catogory'!$A$77:$L$95,12,0)</f>
        <v>0</v>
      </c>
      <c r="F48" s="136">
        <f t="shared" si="10"/>
        <v>0</v>
      </c>
      <c r="G48" s="137"/>
      <c r="H48" s="135">
        <f>+VLOOKUP(A48,'Change Summary by catogory'!$A$77:$O$95,15,0)</f>
        <v>0</v>
      </c>
      <c r="I48" s="135">
        <f>+VLOOKUP(A48,'Change Summary by catogory'!$A$77:$S$95,19,0)</f>
        <v>0</v>
      </c>
      <c r="J48" s="136">
        <f t="shared" si="11"/>
        <v>0</v>
      </c>
      <c r="K48" s="138"/>
      <c r="L48" s="135"/>
      <c r="M48" s="135"/>
    </row>
    <row r="49" spans="1:13" ht="12.75" outlineLevel="1">
      <c r="A49" s="132" t="s">
        <v>148</v>
      </c>
      <c r="B49" s="131" t="s">
        <v>196</v>
      </c>
      <c r="C49" s="135">
        <f>+VLOOKUP(A49,'Change Summary by catogory'!$A$101:$D$119,4,0)</f>
        <v>0</v>
      </c>
      <c r="D49" s="135">
        <f>+VLOOKUP(A49,'Change Summary by catogory'!$A$101:$H$119,8,0)</f>
        <v>0</v>
      </c>
      <c r="E49" s="135">
        <f>+VLOOKUP(A49,'Change Summary by catogory'!$A$101:$L$119,12,0)</f>
        <v>0</v>
      </c>
      <c r="F49" s="136">
        <f t="shared" si="10"/>
        <v>0</v>
      </c>
      <c r="G49" s="137"/>
      <c r="H49" s="135">
        <f>+VLOOKUP(A49,'Change Summary by catogory'!$A$101:$O$119,15,)</f>
        <v>0</v>
      </c>
      <c r="I49" s="135">
        <f>+VLOOKUP(A50,'Change Summary by catogory'!$A$101:$S$119,19,0)</f>
        <v>0</v>
      </c>
      <c r="J49" s="136">
        <f t="shared" si="11"/>
        <v>0</v>
      </c>
      <c r="K49" s="138"/>
      <c r="L49" s="135"/>
      <c r="M49" s="135"/>
    </row>
    <row r="50" spans="1:13" ht="12.75" outlineLevel="1">
      <c r="A50" s="132" t="s">
        <v>148</v>
      </c>
      <c r="B50" s="131" t="s">
        <v>5</v>
      </c>
      <c r="C50" s="135">
        <f>+VLOOKUP(A50,'Change Summary by catogory'!$A$125:$D$143,4,0)</f>
        <v>0</v>
      </c>
      <c r="D50" s="135">
        <f>+VLOOKUP(A50,'Change Summary by catogory'!$A$125:$H$143,8,0)</f>
        <v>0</v>
      </c>
      <c r="E50" s="135">
        <f>+VLOOKUP(A50,'Change Summary by catogory'!$A$125:$L$143,12,0)</f>
        <v>0</v>
      </c>
      <c r="F50" s="136">
        <f t="shared" si="10"/>
        <v>0</v>
      </c>
      <c r="G50" s="137"/>
      <c r="H50" s="135">
        <f>+VLOOKUP(A50,'Change Summary by catogory'!$A$125:$O$143,15,0)</f>
        <v>-28.9</v>
      </c>
      <c r="I50" s="135">
        <f>+VLOOKUP(A50,'Change Summary by catogory'!$A$125:$S$143,19,0)</f>
        <v>0</v>
      </c>
      <c r="J50" s="136">
        <f t="shared" si="11"/>
        <v>-28.9</v>
      </c>
      <c r="K50" s="138"/>
      <c r="L50" s="135"/>
      <c r="M50" s="135"/>
    </row>
    <row r="51" spans="2:13" ht="13.5" thickBot="1">
      <c r="B51" s="139" t="s">
        <v>210</v>
      </c>
      <c r="C51" s="140">
        <f>+SUM(C45:C50)</f>
        <v>0</v>
      </c>
      <c r="D51" s="140">
        <f>+SUM(D45:D50)</f>
        <v>0</v>
      </c>
      <c r="E51" s="140">
        <f>+SUM(E45:E50)</f>
        <v>0</v>
      </c>
      <c r="F51" s="140">
        <f>+SUM(F45:F50)</f>
        <v>0</v>
      </c>
      <c r="G51" s="137"/>
      <c r="H51" s="140">
        <f>+SUM(H45:H50)</f>
        <v>-48.9</v>
      </c>
      <c r="I51" s="140">
        <f>+SUM(I45:I50)</f>
        <v>-10</v>
      </c>
      <c r="J51" s="140">
        <f>+SUM(J45:J50)</f>
        <v>-58.9</v>
      </c>
      <c r="K51" s="137"/>
      <c r="L51" s="140">
        <v>-30</v>
      </c>
      <c r="M51" s="141">
        <f>+(F51+J51)-L51</f>
        <v>-28.9</v>
      </c>
    </row>
    <row r="52" spans="3:13" ht="12.75">
      <c r="C52" s="135"/>
      <c r="D52" s="135"/>
      <c r="E52" s="135"/>
      <c r="F52" s="136"/>
      <c r="G52" s="137"/>
      <c r="H52" s="135"/>
      <c r="I52" s="135"/>
      <c r="J52" s="136"/>
      <c r="K52" s="138"/>
      <c r="L52" s="135"/>
      <c r="M52" s="135"/>
    </row>
    <row r="53" spans="2:15" s="142" customFormat="1" ht="16.5" thickBot="1">
      <c r="B53" s="143" t="s">
        <v>211</v>
      </c>
      <c r="C53" s="144">
        <f>+C51+C43+C35</f>
        <v>28.86881699999998</v>
      </c>
      <c r="D53" s="144">
        <f>+D51+D43+D35</f>
        <v>195.36790785</v>
      </c>
      <c r="E53" s="144">
        <f>+E51+E43+E35</f>
        <v>235.80130324250018</v>
      </c>
      <c r="F53" s="144">
        <f>+F51+F43+F35</f>
        <v>460.0380280925002</v>
      </c>
      <c r="G53" s="145"/>
      <c r="H53" s="144">
        <f>+H51+H43+H35</f>
        <v>-288.9</v>
      </c>
      <c r="I53" s="144">
        <f>+I51+I43+I35</f>
        <v>-50</v>
      </c>
      <c r="J53" s="146">
        <f>+J51+J43+J35</f>
        <v>-338.9</v>
      </c>
      <c r="K53" s="145"/>
      <c r="L53" s="144">
        <f>+L51+L43+L35</f>
        <v>-171.268</v>
      </c>
      <c r="M53" s="144">
        <f>+(F53+J53)-L53</f>
        <v>292.40602809250026</v>
      </c>
      <c r="O53" s="147"/>
    </row>
    <row r="54" spans="3:13" ht="12.75">
      <c r="C54" s="135"/>
      <c r="D54" s="135"/>
      <c r="E54" s="135"/>
      <c r="F54" s="136"/>
      <c r="G54" s="137"/>
      <c r="H54" s="135"/>
      <c r="I54" s="135"/>
      <c r="J54" s="136"/>
      <c r="K54" s="138"/>
      <c r="L54" s="135"/>
      <c r="M54" s="135"/>
    </row>
    <row r="55" spans="1:13" ht="12.75" outlineLevel="1">
      <c r="A55" s="132" t="s">
        <v>30</v>
      </c>
      <c r="B55" s="131" t="s">
        <v>10</v>
      </c>
      <c r="C55" s="135">
        <f>+VLOOKUP(A55,'Change Summary by catogory'!$A$5:$D$23,4,0)</f>
        <v>0</v>
      </c>
      <c r="D55" s="135">
        <f>+VLOOKUP(A55,'Change Summary by catogory'!$A$5:$H$23,8,0)</f>
        <v>0</v>
      </c>
      <c r="E55" s="135">
        <f>+VLOOKUP(A55,'Change Summary by catogory'!$A$5:$L$23,12,0)</f>
        <v>0</v>
      </c>
      <c r="F55" s="136">
        <f aca="true" t="shared" si="12" ref="F55:F60">+SUM(C55:E55)</f>
        <v>0</v>
      </c>
      <c r="G55" s="137"/>
      <c r="H55" s="135">
        <f>+VLOOKUP(A55,'Change Summary by catogory'!$A$5:$O$23,15,0)</f>
        <v>0</v>
      </c>
      <c r="I55" s="135">
        <f>+VLOOKUP(A55,'Change Summary by catogory'!$A$5:$S$23,19,0)</f>
        <v>0</v>
      </c>
      <c r="J55" s="136">
        <f aca="true" t="shared" si="13" ref="J55:J60">+SUM(H55:I55)</f>
        <v>0</v>
      </c>
      <c r="K55" s="138"/>
      <c r="L55" s="135"/>
      <c r="M55" s="135"/>
    </row>
    <row r="56" spans="1:13" ht="12.75" outlineLevel="1">
      <c r="A56" s="132" t="s">
        <v>30</v>
      </c>
      <c r="B56" s="131" t="s">
        <v>1</v>
      </c>
      <c r="C56" s="135">
        <f>+VLOOKUP(A56,'Change Summary by catogory'!$A$29:$D$47,4,0)</f>
        <v>-22</v>
      </c>
      <c r="D56" s="135">
        <f>+VLOOKUP(A56,'Change Summary by catogory'!$A$29:$H$47,8,0)</f>
        <v>72</v>
      </c>
      <c r="E56" s="135">
        <f>+VLOOKUP(A56,'Change Summary by catogory'!$A$29:$L$47,12,0)</f>
        <v>0</v>
      </c>
      <c r="F56" s="136">
        <f t="shared" si="12"/>
        <v>50</v>
      </c>
      <c r="G56" s="137"/>
      <c r="H56" s="135">
        <f>+VLOOKUP(A56,'Change Summary by catogory'!$A$29:$O$47,15,0)</f>
        <v>0</v>
      </c>
      <c r="I56" s="135">
        <f>+VLOOKUP(A56,'Change Summary by catogory'!$A$29:$S$47,19,0)</f>
        <v>0</v>
      </c>
      <c r="J56" s="136">
        <f t="shared" si="13"/>
        <v>0</v>
      </c>
      <c r="K56" s="138"/>
      <c r="L56" s="135"/>
      <c r="M56" s="135"/>
    </row>
    <row r="57" spans="1:13" ht="12.75" outlineLevel="1">
      <c r="A57" s="132" t="s">
        <v>30</v>
      </c>
      <c r="B57" s="131" t="s">
        <v>203</v>
      </c>
      <c r="C57" s="135">
        <f>+VLOOKUP(A57,'Change Summary by catogory'!$A$53:$D$71,4,0)</f>
        <v>0</v>
      </c>
      <c r="D57" s="135">
        <f>+VLOOKUP(A57,'Change Summary by catogory'!$A$53:$H$66,8,0)</f>
        <v>0</v>
      </c>
      <c r="E57" s="135">
        <f>+VLOOKUP(A57,'Change Summary by catogory'!$A$53:$L$71,12,0)</f>
        <v>0</v>
      </c>
      <c r="F57" s="136">
        <f t="shared" si="12"/>
        <v>0</v>
      </c>
      <c r="G57" s="137"/>
      <c r="H57" s="135">
        <f>+VLOOKUP(A57,'Change Summary by catogory'!$A$53:$O$71,15,0)</f>
        <v>0</v>
      </c>
      <c r="I57" s="135">
        <f>+VLOOKUP(A57,'Change Summary by catogory'!$A$53:$S$71,19,0)</f>
        <v>-30</v>
      </c>
      <c r="J57" s="136">
        <f t="shared" si="13"/>
        <v>-30</v>
      </c>
      <c r="K57" s="138"/>
      <c r="L57" s="135"/>
      <c r="M57" s="135"/>
    </row>
    <row r="58" spans="1:13" ht="12.75" outlineLevel="1">
      <c r="A58" s="132" t="s">
        <v>30</v>
      </c>
      <c r="B58" s="131" t="s">
        <v>204</v>
      </c>
      <c r="C58" s="135">
        <f>+VLOOKUP(A58,'Change Summary by catogory'!$A$77:$D$95,4,0)</f>
        <v>0</v>
      </c>
      <c r="D58" s="135">
        <f>+VLOOKUP(A58,'Change Summary by catogory'!$A$77:$H$95,8,0)</f>
        <v>0</v>
      </c>
      <c r="E58" s="135">
        <f>+VLOOKUP(A58,'Change Summary by catogory'!$A$77:$L$95,12,0)</f>
        <v>0</v>
      </c>
      <c r="F58" s="136">
        <f t="shared" si="12"/>
        <v>0</v>
      </c>
      <c r="G58" s="137"/>
      <c r="H58" s="135">
        <f>+VLOOKUP(A58,'Change Summary by catogory'!$A$77:$O$95,15,0)</f>
        <v>0</v>
      </c>
      <c r="I58" s="135">
        <f>+VLOOKUP(A58,'Change Summary by catogory'!$A$77:$S$95,19,0)</f>
        <v>0</v>
      </c>
      <c r="J58" s="136">
        <f t="shared" si="13"/>
        <v>0</v>
      </c>
      <c r="K58" s="138"/>
      <c r="L58" s="135"/>
      <c r="M58" s="135"/>
    </row>
    <row r="59" spans="1:13" ht="12.75" outlineLevel="1">
      <c r="A59" s="132" t="s">
        <v>30</v>
      </c>
      <c r="B59" s="131" t="s">
        <v>196</v>
      </c>
      <c r="C59" s="135">
        <f>+VLOOKUP(A59,'Change Summary by catogory'!$A$101:$D$119,4,0)</f>
        <v>-10</v>
      </c>
      <c r="D59" s="135">
        <f>+VLOOKUP(A59,'Change Summary by catogory'!$A$101:$H$119,8,0)</f>
        <v>-50.075</v>
      </c>
      <c r="E59" s="135">
        <f>+VLOOKUP(A59,'Change Summary by catogory'!$A$101:$L$119,12,0)</f>
        <v>0</v>
      </c>
      <c r="F59" s="136">
        <f t="shared" si="12"/>
        <v>-60.075</v>
      </c>
      <c r="G59" s="137"/>
      <c r="H59" s="135">
        <f>+VLOOKUP(A59,'Change Summary by catogory'!$A$101:$O$119,15,)</f>
        <v>0</v>
      </c>
      <c r="I59" s="135">
        <f>+VLOOKUP(A60,'Change Summary by catogory'!$A$101:$S$119,19,0)</f>
        <v>0</v>
      </c>
      <c r="J59" s="136">
        <f t="shared" si="13"/>
        <v>0</v>
      </c>
      <c r="K59" s="138"/>
      <c r="L59" s="135"/>
      <c r="M59" s="135"/>
    </row>
    <row r="60" spans="1:13" ht="12.75" outlineLevel="1">
      <c r="A60" s="132" t="s">
        <v>30</v>
      </c>
      <c r="B60" s="131" t="s">
        <v>5</v>
      </c>
      <c r="C60" s="135">
        <f>+VLOOKUP(A60,'Change Summary by catogory'!$A$125:$D$143,4,0)</f>
        <v>-32</v>
      </c>
      <c r="D60" s="135">
        <f>+VLOOKUP(A60,'Change Summary by catogory'!$A$125:$H$143,8,0)</f>
        <v>32</v>
      </c>
      <c r="E60" s="135">
        <f>+VLOOKUP(A60,'Change Summary by catogory'!$A$125:$L$143,12,0)</f>
        <v>0</v>
      </c>
      <c r="F60" s="136">
        <f t="shared" si="12"/>
        <v>0</v>
      </c>
      <c r="G60" s="137"/>
      <c r="H60" s="135">
        <f>+VLOOKUP(A60,'Change Summary by catogory'!$A$125:$O$143,15,0)</f>
        <v>0</v>
      </c>
      <c r="I60" s="135">
        <f>+VLOOKUP(A60,'Change Summary by catogory'!$A$125:$S$143,19,0)</f>
        <v>0</v>
      </c>
      <c r="J60" s="136">
        <f t="shared" si="13"/>
        <v>0</v>
      </c>
      <c r="K60" s="138"/>
      <c r="L60" s="135"/>
      <c r="M60" s="135"/>
    </row>
    <row r="61" spans="1:13" ht="13.5" thickBot="1">
      <c r="A61" s="132"/>
      <c r="B61" s="139" t="s">
        <v>212</v>
      </c>
      <c r="C61" s="140">
        <f>+SUM(C55:C60)</f>
        <v>-64</v>
      </c>
      <c r="D61" s="140">
        <f>+SUM(D55:D60)</f>
        <v>53.925</v>
      </c>
      <c r="E61" s="140">
        <f>+SUM(E55:E60)</f>
        <v>0</v>
      </c>
      <c r="F61" s="140">
        <f>+SUM(F55:F60)</f>
        <v>-10.075000000000003</v>
      </c>
      <c r="G61" s="137"/>
      <c r="H61" s="140">
        <f>+SUM(H55:H60)</f>
        <v>0</v>
      </c>
      <c r="I61" s="140">
        <f>+SUM(I55:I60)</f>
        <v>-30</v>
      </c>
      <c r="J61" s="140">
        <f>+SUM(J55:J60)</f>
        <v>-30</v>
      </c>
      <c r="K61" s="137"/>
      <c r="L61" s="140">
        <v>-50.74</v>
      </c>
      <c r="M61" s="141">
        <f>+(F61+J61)-L61</f>
        <v>10.665</v>
      </c>
    </row>
    <row r="62" spans="1:13" ht="12.75">
      <c r="A62" s="132"/>
      <c r="C62" s="135"/>
      <c r="D62" s="135"/>
      <c r="E62" s="135"/>
      <c r="F62" s="136"/>
      <c r="G62" s="137"/>
      <c r="H62" s="135"/>
      <c r="I62" s="135"/>
      <c r="J62" s="136"/>
      <c r="K62" s="138"/>
      <c r="L62" s="135"/>
      <c r="M62" s="135"/>
    </row>
    <row r="63" spans="1:13" ht="12.75" outlineLevel="1">
      <c r="A63" s="132" t="s">
        <v>138</v>
      </c>
      <c r="B63" s="131" t="s">
        <v>10</v>
      </c>
      <c r="C63" s="135">
        <f>+VLOOKUP(A63,'Change Summary by catogory'!$A$5:$D$23,4,0)</f>
        <v>150</v>
      </c>
      <c r="D63" s="135">
        <f>+VLOOKUP(A63,'Change Summary by catogory'!$A$5:$H$23,8,0)</f>
        <v>63</v>
      </c>
      <c r="E63" s="135">
        <f>+VLOOKUP(A63,'Change Summary by catogory'!$A$5:$L$23,12,0)</f>
        <v>64.26</v>
      </c>
      <c r="F63" s="136">
        <f aca="true" t="shared" si="14" ref="F63:F68">+SUM(C63:E63)</f>
        <v>277.26</v>
      </c>
      <c r="G63" s="137"/>
      <c r="H63" s="135">
        <f>+VLOOKUP(A63,'Change Summary by catogory'!$A$5:$O$23,15,0)</f>
        <v>65.545</v>
      </c>
      <c r="I63" s="135">
        <f>+VLOOKUP(A63,'Change Summary by catogory'!$A$5:$S$23,19,0)</f>
        <v>66.856</v>
      </c>
      <c r="J63" s="136">
        <f aca="true" t="shared" si="15" ref="J63:J68">+SUM(H63:I63)</f>
        <v>132.401</v>
      </c>
      <c r="K63" s="138"/>
      <c r="L63" s="135"/>
      <c r="M63" s="135"/>
    </row>
    <row r="64" spans="1:13" ht="12.75" outlineLevel="1">
      <c r="A64" s="132" t="s">
        <v>138</v>
      </c>
      <c r="B64" s="131" t="s">
        <v>1</v>
      </c>
      <c r="C64" s="135">
        <f>+VLOOKUP(A64,'Change Summary by catogory'!$A$29:$D$47,4,0)</f>
        <v>670</v>
      </c>
      <c r="D64" s="135">
        <f>+VLOOKUP(A64,'Change Summary by catogory'!$A$29:$H$47,8,0)</f>
        <v>126</v>
      </c>
      <c r="E64" s="135">
        <f>+VLOOKUP(A64,'Change Summary by catogory'!$A$29:$L$47,12,0)</f>
        <v>-220</v>
      </c>
      <c r="F64" s="136">
        <f t="shared" si="14"/>
        <v>576</v>
      </c>
      <c r="G64" s="137"/>
      <c r="H64" s="135">
        <f>+VLOOKUP(A64,'Change Summary by catogory'!$A$29:$O$47,15,0)</f>
        <v>0</v>
      </c>
      <c r="I64" s="135">
        <f>+VLOOKUP(A64,'Change Summary by catogory'!$A$29:$S$47,19,0)</f>
        <v>0</v>
      </c>
      <c r="J64" s="136">
        <f t="shared" si="15"/>
        <v>0</v>
      </c>
      <c r="K64" s="138"/>
      <c r="L64" s="135"/>
      <c r="M64" s="135"/>
    </row>
    <row r="65" spans="1:13" ht="12.75" outlineLevel="1">
      <c r="A65" s="132" t="s">
        <v>138</v>
      </c>
      <c r="B65" s="131" t="s">
        <v>203</v>
      </c>
      <c r="C65" s="135">
        <f>+VLOOKUP(A65,'Change Summary by catogory'!$A$53:$D$71,4,0)</f>
        <v>-70</v>
      </c>
      <c r="D65" s="135">
        <f>+VLOOKUP(A65,'Change Summary by catogory'!$A$53:$H$66,8,0)</f>
        <v>60</v>
      </c>
      <c r="E65" s="135">
        <f>+VLOOKUP(A65,'Change Summary by catogory'!$A$53:$L$71,12,0)</f>
        <v>-340</v>
      </c>
      <c r="F65" s="136">
        <f t="shared" si="14"/>
        <v>-350</v>
      </c>
      <c r="G65" s="137"/>
      <c r="H65" s="135">
        <f>+VLOOKUP(A65,'Change Summary by catogory'!$A$53:$O$71,15,0)</f>
        <v>-25</v>
      </c>
      <c r="I65" s="135">
        <f>+VLOOKUP(A65,'Change Summary by catogory'!$A$53:$S$71,19,0)</f>
        <v>-25</v>
      </c>
      <c r="J65" s="136">
        <f t="shared" si="15"/>
        <v>-50</v>
      </c>
      <c r="K65" s="138"/>
      <c r="L65" s="135"/>
      <c r="M65" s="135"/>
    </row>
    <row r="66" spans="1:13" ht="12.75" outlineLevel="1">
      <c r="A66" s="132" t="s">
        <v>138</v>
      </c>
      <c r="B66" s="131" t="s">
        <v>204</v>
      </c>
      <c r="C66" s="135">
        <f>+VLOOKUP(A66,'Change Summary by catogory'!$A$77:$D$95,4,0)</f>
        <v>0</v>
      </c>
      <c r="D66" s="135">
        <f>+VLOOKUP(A66,'Change Summary by catogory'!$A$77:$H$95,8,0)</f>
        <v>0</v>
      </c>
      <c r="E66" s="135">
        <f>+VLOOKUP(A66,'Change Summary by catogory'!$A$77:$L$95,12,0)</f>
        <v>0</v>
      </c>
      <c r="F66" s="136">
        <f t="shared" si="14"/>
        <v>0</v>
      </c>
      <c r="G66" s="137"/>
      <c r="H66" s="135">
        <f>+VLOOKUP(A66,'Change Summary by catogory'!$A$77:$O$95,15,0)</f>
        <v>0</v>
      </c>
      <c r="I66" s="135">
        <f>+VLOOKUP(A66,'Change Summary by catogory'!$A$77:$S$95,19,0)</f>
        <v>0</v>
      </c>
      <c r="J66" s="136">
        <f t="shared" si="15"/>
        <v>0</v>
      </c>
      <c r="K66" s="138"/>
      <c r="L66" s="135"/>
      <c r="M66" s="135"/>
    </row>
    <row r="67" spans="1:13" ht="12.75" outlineLevel="1">
      <c r="A67" s="132" t="s">
        <v>138</v>
      </c>
      <c r="B67" s="131" t="s">
        <v>196</v>
      </c>
      <c r="C67" s="135">
        <f>+VLOOKUP(A67,'Change Summary by catogory'!$A$101:$D$119,4,0)</f>
        <v>-526</v>
      </c>
      <c r="D67" s="135">
        <f>+VLOOKUP(A67,'Change Summary by catogory'!$A$101:$H$119,8,0)</f>
        <v>2.25</v>
      </c>
      <c r="E67" s="135">
        <f>+VLOOKUP(A67,'Change Summary by catogory'!$A$101:$L$119,12,0)</f>
        <v>11.935000000000002</v>
      </c>
      <c r="F67" s="136">
        <f t="shared" si="14"/>
        <v>-511.815</v>
      </c>
      <c r="G67" s="137"/>
      <c r="H67" s="135">
        <f>+VLOOKUP(A67,'Change Summary by catogory'!$A$101:$O$119,15,)</f>
        <v>-332.536</v>
      </c>
      <c r="I67" s="135">
        <f>+VLOOKUP(A68,'Change Summary by catogory'!$A$101:$S$119,19,0)</f>
        <v>-333.27049999999997</v>
      </c>
      <c r="J67" s="136">
        <f t="shared" si="15"/>
        <v>-665.8064999999999</v>
      </c>
      <c r="K67" s="138"/>
      <c r="L67" s="135"/>
      <c r="M67" s="135"/>
    </row>
    <row r="68" spans="1:13" ht="12.75" outlineLevel="1">
      <c r="A68" s="132" t="s">
        <v>138</v>
      </c>
      <c r="B68" s="131" t="s">
        <v>5</v>
      </c>
      <c r="C68" s="135">
        <f>+VLOOKUP(A68,'Change Summary by catogory'!$A$125:$D$143,4,0)</f>
        <v>0</v>
      </c>
      <c r="D68" s="135">
        <f>+VLOOKUP(A68,'Change Summary by catogory'!$A$125:$H$143,8,0)</f>
        <v>0</v>
      </c>
      <c r="E68" s="135">
        <f>+VLOOKUP(A68,'Change Summary by catogory'!$A$125:$L$143,12,0)</f>
        <v>0</v>
      </c>
      <c r="F68" s="136">
        <f t="shared" si="14"/>
        <v>0</v>
      </c>
      <c r="G68" s="137"/>
      <c r="H68" s="135">
        <f>+VLOOKUP(A68,'Change Summary by catogory'!$A$125:$O$143,15,0)</f>
        <v>0</v>
      </c>
      <c r="I68" s="135">
        <f>+VLOOKUP(A68,'Change Summary by catogory'!$A$125:$S$143,19,0)</f>
        <v>0</v>
      </c>
      <c r="J68" s="136">
        <f t="shared" si="15"/>
        <v>0</v>
      </c>
      <c r="K68" s="138"/>
      <c r="L68" s="135"/>
      <c r="M68" s="135"/>
    </row>
    <row r="69" spans="1:13" ht="13.5" thickBot="1">
      <c r="A69" s="132"/>
      <c r="B69" s="139" t="s">
        <v>213</v>
      </c>
      <c r="C69" s="140">
        <f>+SUM(C63:C68)</f>
        <v>224</v>
      </c>
      <c r="D69" s="140">
        <f>+SUM(D63:D68)</f>
        <v>251.25</v>
      </c>
      <c r="E69" s="140">
        <f>+SUM(E63:E68)</f>
        <v>-483.805</v>
      </c>
      <c r="F69" s="140">
        <f>+SUM(F63:F68)</f>
        <v>-8.555000000000007</v>
      </c>
      <c r="G69" s="137"/>
      <c r="H69" s="140">
        <f>+SUM(H63:H68)</f>
        <v>-291.991</v>
      </c>
      <c r="I69" s="140">
        <f>+SUM(I63:I68)</f>
        <v>-291.4145</v>
      </c>
      <c r="J69" s="140">
        <f>+SUM(J63:J68)</f>
        <v>-583.4054999999998</v>
      </c>
      <c r="K69" s="137"/>
      <c r="L69" s="140">
        <v>-806.132</v>
      </c>
      <c r="M69" s="141">
        <f>+(F69+J69)-L69</f>
        <v>214.17150000000004</v>
      </c>
    </row>
    <row r="70" spans="1:13" ht="12.75">
      <c r="A70" s="132"/>
      <c r="C70" s="135"/>
      <c r="D70" s="135"/>
      <c r="E70" s="135"/>
      <c r="F70" s="136"/>
      <c r="G70" s="137"/>
      <c r="H70" s="135"/>
      <c r="I70" s="135"/>
      <c r="J70" s="136"/>
      <c r="K70" s="138"/>
      <c r="L70" s="135"/>
      <c r="M70" s="135"/>
    </row>
    <row r="71" spans="1:13" ht="12.75" outlineLevel="1">
      <c r="A71" s="132" t="s">
        <v>21</v>
      </c>
      <c r="B71" s="131" t="s">
        <v>10</v>
      </c>
      <c r="C71" s="135">
        <f>+VLOOKUP(A71,'Change Summary by catogory'!$A$5:$D$23,4,0)</f>
        <v>0</v>
      </c>
      <c r="D71" s="135">
        <f>+VLOOKUP(A71,'Change Summary by catogory'!$A$5:$H$23,8,0)</f>
        <v>0</v>
      </c>
      <c r="E71" s="135">
        <f>+VLOOKUP(A71,'Change Summary by catogory'!$A$5:$L$23,12,0)</f>
        <v>0</v>
      </c>
      <c r="F71" s="136">
        <f aca="true" t="shared" si="16" ref="F71:F76">+SUM(C71:E71)</f>
        <v>0</v>
      </c>
      <c r="G71" s="137"/>
      <c r="H71" s="135">
        <f>+VLOOKUP(A71,'Change Summary by catogory'!$A$5:$O$23,15,0)</f>
        <v>0</v>
      </c>
      <c r="I71" s="135">
        <f>+VLOOKUP(A71,'Change Summary by catogory'!$A$5:$S$23,19,0)</f>
        <v>0</v>
      </c>
      <c r="J71" s="136">
        <f aca="true" t="shared" si="17" ref="J71:J76">+SUM(H71:I71)</f>
        <v>0</v>
      </c>
      <c r="K71" s="138"/>
      <c r="L71" s="135"/>
      <c r="M71" s="135"/>
    </row>
    <row r="72" spans="1:13" ht="12.75" outlineLevel="1">
      <c r="A72" s="132" t="s">
        <v>21</v>
      </c>
      <c r="B72" s="131" t="s">
        <v>1</v>
      </c>
      <c r="C72" s="135">
        <f>+VLOOKUP(A72,'Change Summary by catogory'!$A$29:$D$47,4,0)</f>
        <v>-954</v>
      </c>
      <c r="D72" s="135">
        <f>+VLOOKUP(A72,'Change Summary by catogory'!$A$29:$H$47,8,0)</f>
        <v>55</v>
      </c>
      <c r="E72" s="135">
        <f>+VLOOKUP(A72,'Change Summary by catogory'!$A$29:$L$47,12,0)</f>
        <v>0</v>
      </c>
      <c r="F72" s="136">
        <f t="shared" si="16"/>
        <v>-899</v>
      </c>
      <c r="G72" s="137"/>
      <c r="H72" s="135">
        <f>+VLOOKUP(A72,'Change Summary by catogory'!$A$29:$O$47,15,0)</f>
        <v>-25</v>
      </c>
      <c r="I72" s="135">
        <f>+VLOOKUP(A72,'Change Summary by catogory'!$A$29:$S$47,19,0)</f>
        <v>0</v>
      </c>
      <c r="J72" s="136">
        <f t="shared" si="17"/>
        <v>-25</v>
      </c>
      <c r="K72" s="138"/>
      <c r="L72" s="135"/>
      <c r="M72" s="135"/>
    </row>
    <row r="73" spans="1:13" ht="12.75" outlineLevel="1">
      <c r="A73" s="132" t="s">
        <v>21</v>
      </c>
      <c r="B73" s="131" t="s">
        <v>203</v>
      </c>
      <c r="C73" s="135">
        <f>+VLOOKUP(A73,'Change Summary by catogory'!$A$53:$D$71,4,0)</f>
        <v>45.67599999999999</v>
      </c>
      <c r="D73" s="135">
        <f>+VLOOKUP(A73,'Change Summary by catogory'!$A$53:$H$66,8,0)</f>
        <v>-81</v>
      </c>
      <c r="E73" s="135">
        <f>+VLOOKUP(A73,'Change Summary by catogory'!$A$53:$L$71,12,0)</f>
        <v>0</v>
      </c>
      <c r="F73" s="136">
        <f t="shared" si="16"/>
        <v>-35.32400000000001</v>
      </c>
      <c r="G73" s="137"/>
      <c r="H73" s="135">
        <f>+VLOOKUP(A73,'Change Summary by catogory'!$A$53:$O$71,15,0)</f>
        <v>-65.528</v>
      </c>
      <c r="I73" s="135">
        <f>+VLOOKUP(A73,'Change Summary by catogory'!$A$53:$S$71,19,0)</f>
        <v>-65.528</v>
      </c>
      <c r="J73" s="136">
        <f t="shared" si="17"/>
        <v>-131.056</v>
      </c>
      <c r="K73" s="138"/>
      <c r="L73" s="135"/>
      <c r="M73" s="135"/>
    </row>
    <row r="74" spans="1:13" ht="12.75" outlineLevel="1">
      <c r="A74" s="132" t="s">
        <v>21</v>
      </c>
      <c r="B74" s="131" t="s">
        <v>204</v>
      </c>
      <c r="C74" s="135">
        <f>+VLOOKUP(A74,'Change Summary by catogory'!$A$77:$D$95,4,0)</f>
        <v>93</v>
      </c>
      <c r="D74" s="135">
        <f>+VLOOKUP(A74,'Change Summary by catogory'!$A$77:$H$95,8,0)</f>
        <v>-88</v>
      </c>
      <c r="E74" s="135">
        <f>+VLOOKUP(A74,'Change Summary by catogory'!$A$77:$L$95,12,0)</f>
        <v>0</v>
      </c>
      <c r="F74" s="136">
        <f t="shared" si="16"/>
        <v>5</v>
      </c>
      <c r="G74" s="137"/>
      <c r="H74" s="135">
        <f>+VLOOKUP(A74,'Change Summary by catogory'!$A$77:$O$95,15,0)</f>
        <v>0</v>
      </c>
      <c r="I74" s="135">
        <f>+VLOOKUP(A74,'Change Summary by catogory'!$A$77:$S$95,19,0)</f>
        <v>0</v>
      </c>
      <c r="J74" s="136">
        <f t="shared" si="17"/>
        <v>0</v>
      </c>
      <c r="K74" s="138"/>
      <c r="L74" s="135"/>
      <c r="M74" s="135"/>
    </row>
    <row r="75" spans="1:13" ht="12.75" outlineLevel="1">
      <c r="A75" s="132" t="s">
        <v>21</v>
      </c>
      <c r="B75" s="131" t="s">
        <v>196</v>
      </c>
      <c r="C75" s="135">
        <f>+VLOOKUP(A75,'Change Summary by catogory'!$A$101:$D$119,4,0)</f>
        <v>0</v>
      </c>
      <c r="D75" s="135">
        <f>+VLOOKUP(A75,'Change Summary by catogory'!$A$101:$H$119,8,0)</f>
        <v>0</v>
      </c>
      <c r="E75" s="135">
        <f>+VLOOKUP(A75,'Change Summary by catogory'!$A$101:$L$119,12,0)</f>
        <v>0</v>
      </c>
      <c r="F75" s="136">
        <f t="shared" si="16"/>
        <v>0</v>
      </c>
      <c r="G75" s="137"/>
      <c r="H75" s="135">
        <f>+VLOOKUP(A75,'Change Summary by catogory'!$A$101:$O$119,15,)</f>
        <v>0</v>
      </c>
      <c r="I75" s="135">
        <f>+VLOOKUP(A76,'Change Summary by catogory'!$A$101:$S$119,19,0)</f>
        <v>0</v>
      </c>
      <c r="J75" s="136">
        <f t="shared" si="17"/>
        <v>0</v>
      </c>
      <c r="K75" s="138"/>
      <c r="L75" s="135"/>
      <c r="M75" s="135"/>
    </row>
    <row r="76" spans="1:13" ht="12.75" outlineLevel="1">
      <c r="A76" s="132" t="s">
        <v>21</v>
      </c>
      <c r="B76" s="131" t="s">
        <v>5</v>
      </c>
      <c r="C76" s="135">
        <f>+VLOOKUP(A76,'Change Summary by catogory'!$A$125:$D$143,4,0)</f>
        <v>0</v>
      </c>
      <c r="D76" s="135">
        <f>+VLOOKUP(A76,'Change Summary by catogory'!$A$125:$H$143,8,0)</f>
        <v>0</v>
      </c>
      <c r="E76" s="135">
        <f>+VLOOKUP(A76,'Change Summary by catogory'!$A$125:$L$143,12,0)</f>
        <v>0</v>
      </c>
      <c r="F76" s="136">
        <f t="shared" si="16"/>
        <v>0</v>
      </c>
      <c r="G76" s="137"/>
      <c r="H76" s="135">
        <f>+VLOOKUP(A76,'Change Summary by catogory'!$A$125:$O$143,15,0)</f>
        <v>0</v>
      </c>
      <c r="I76" s="135">
        <f>+VLOOKUP(A76,'Change Summary by catogory'!$A$125:$S$143,19,0)</f>
        <v>0</v>
      </c>
      <c r="J76" s="136">
        <f t="shared" si="17"/>
        <v>0</v>
      </c>
      <c r="K76" s="138"/>
      <c r="L76" s="135"/>
      <c r="M76" s="135"/>
    </row>
    <row r="77" spans="1:15" ht="64.5" thickBot="1">
      <c r="A77" s="132"/>
      <c r="B77" s="139" t="s">
        <v>214</v>
      </c>
      <c r="C77" s="140">
        <f>+SUM(C71:C76)</f>
        <v>-815.3240000000001</v>
      </c>
      <c r="D77" s="140">
        <f>+SUM(D71:D76)</f>
        <v>-114</v>
      </c>
      <c r="E77" s="140">
        <f>+SUM(E71:E76)</f>
        <v>0</v>
      </c>
      <c r="F77" s="140">
        <f>+SUM(F71:F76)</f>
        <v>-929.3240000000001</v>
      </c>
      <c r="G77" s="137"/>
      <c r="H77" s="140">
        <f>+SUM(H71:H76)</f>
        <v>-90.528</v>
      </c>
      <c r="I77" s="140">
        <f>+SUM(I71:I76)</f>
        <v>-65.528</v>
      </c>
      <c r="J77" s="140">
        <f>+SUM(J71:J76)</f>
        <v>-156.056</v>
      </c>
      <c r="K77" s="137"/>
      <c r="L77" s="140">
        <v>-135.22</v>
      </c>
      <c r="M77" s="141">
        <f>+(F77+J77)-L77</f>
        <v>-950.1600000000001</v>
      </c>
      <c r="O77" s="126" t="s">
        <v>244</v>
      </c>
    </row>
    <row r="78" spans="1:13" ht="12.75">
      <c r="A78" s="132"/>
      <c r="C78" s="135"/>
      <c r="D78" s="135"/>
      <c r="E78" s="135"/>
      <c r="F78" s="136"/>
      <c r="G78" s="137"/>
      <c r="H78" s="135"/>
      <c r="I78" s="135"/>
      <c r="J78" s="136"/>
      <c r="K78" s="138"/>
      <c r="L78" s="135"/>
      <c r="M78" s="135"/>
    </row>
    <row r="79" spans="1:13" ht="12.75" outlineLevel="1">
      <c r="A79" s="132" t="s">
        <v>38</v>
      </c>
      <c r="B79" s="131" t="s">
        <v>10</v>
      </c>
      <c r="C79" s="135">
        <f>+VLOOKUP(A79,'Change Summary by catogory'!$A$5:$D$23,4,0)</f>
        <v>0</v>
      </c>
      <c r="D79" s="135">
        <f>+VLOOKUP(A79,'Change Summary by catogory'!$A$5:$H$23,8,0)</f>
        <v>-2</v>
      </c>
      <c r="E79" s="135">
        <f>+VLOOKUP(A79,'Change Summary by catogory'!$A$5:$L$23,12,0)</f>
        <v>7</v>
      </c>
      <c r="F79" s="136">
        <f aca="true" t="shared" si="18" ref="F79:F84">+SUM(C79:E79)</f>
        <v>5</v>
      </c>
      <c r="G79" s="137"/>
      <c r="H79" s="135">
        <f>+VLOOKUP(A79,'Change Summary by catogory'!$A$5:$O$23,15,0)</f>
        <v>8</v>
      </c>
      <c r="I79" s="135">
        <f>+VLOOKUP(A79,'Change Summary by catogory'!$A$5:$S$23,19,0)</f>
        <v>3</v>
      </c>
      <c r="J79" s="136">
        <f aca="true" t="shared" si="19" ref="J79:J84">+SUM(H79:I79)</f>
        <v>11</v>
      </c>
      <c r="K79" s="138"/>
      <c r="L79" s="135"/>
      <c r="M79" s="135"/>
    </row>
    <row r="80" spans="1:13" ht="12.75" outlineLevel="1">
      <c r="A80" s="132" t="s">
        <v>38</v>
      </c>
      <c r="B80" s="131" t="s">
        <v>1</v>
      </c>
      <c r="C80" s="135">
        <f>+VLOOKUP(A80,'Change Summary by catogory'!$A$29:$D$47,4,0)</f>
        <v>10</v>
      </c>
      <c r="D80" s="135">
        <f>+VLOOKUP(A80,'Change Summary by catogory'!$A$29:$H$47,8,0)</f>
        <v>0</v>
      </c>
      <c r="E80" s="135">
        <f>+VLOOKUP(A80,'Change Summary by catogory'!$A$29:$L$47,12,0)</f>
        <v>0</v>
      </c>
      <c r="F80" s="136">
        <f t="shared" si="18"/>
        <v>10</v>
      </c>
      <c r="G80" s="137"/>
      <c r="H80" s="135">
        <f>+VLOOKUP(A80,'Change Summary by catogory'!$A$29:$O$47,15,0)</f>
        <v>0</v>
      </c>
      <c r="I80" s="135">
        <f>+VLOOKUP(A80,'Change Summary by catogory'!$A$29:$S$47,19,0)</f>
        <v>0</v>
      </c>
      <c r="J80" s="136">
        <f t="shared" si="19"/>
        <v>0</v>
      </c>
      <c r="K80" s="138"/>
      <c r="L80" s="135"/>
      <c r="M80" s="135"/>
    </row>
    <row r="81" spans="1:13" ht="12.75" outlineLevel="1">
      <c r="A81" s="132" t="s">
        <v>38</v>
      </c>
      <c r="B81" s="131" t="s">
        <v>203</v>
      </c>
      <c r="C81" s="135">
        <f>+VLOOKUP(A81,'Change Summary by catogory'!$A$53:$D$71,4,0)</f>
        <v>-8.99770000000018</v>
      </c>
      <c r="D81" s="135">
        <f>+VLOOKUP(A81,'Change Summary by catogory'!$A$53:$H$66,8,0)</f>
        <v>14.5023500000001</v>
      </c>
      <c r="E81" s="135">
        <f>+VLOOKUP(A81,'Change Summary by catogory'!$A$53:$L$71,12,0)</f>
        <v>0.502750000000006</v>
      </c>
      <c r="F81" s="136">
        <f t="shared" si="18"/>
        <v>6.007399999999926</v>
      </c>
      <c r="G81" s="137"/>
      <c r="H81" s="135">
        <f>+VLOOKUP(A81,'Change Summary by catogory'!$A$53:$O$71,15,0)</f>
        <v>-40</v>
      </c>
      <c r="I81" s="135">
        <f>+VLOOKUP(A81,'Change Summary by catogory'!$A$53:$S$71,19,0)</f>
        <v>-29</v>
      </c>
      <c r="J81" s="136">
        <f t="shared" si="19"/>
        <v>-69</v>
      </c>
      <c r="K81" s="138"/>
      <c r="L81" s="135"/>
      <c r="M81" s="135"/>
    </row>
    <row r="82" spans="1:13" ht="12.75" outlineLevel="1">
      <c r="A82" s="132" t="s">
        <v>38</v>
      </c>
      <c r="B82" s="131" t="s">
        <v>204</v>
      </c>
      <c r="C82" s="135">
        <f>+VLOOKUP(A82,'Change Summary by catogory'!$A$77:$D$95,4,0)</f>
        <v>0</v>
      </c>
      <c r="D82" s="135">
        <f>+VLOOKUP(A82,'Change Summary by catogory'!$A$77:$H$95,8,0)</f>
        <v>0</v>
      </c>
      <c r="E82" s="135">
        <f>+VLOOKUP(A82,'Change Summary by catogory'!$A$77:$L$95,12,0)</f>
        <v>0</v>
      </c>
      <c r="F82" s="136">
        <f t="shared" si="18"/>
        <v>0</v>
      </c>
      <c r="G82" s="137"/>
      <c r="H82" s="135">
        <f>+VLOOKUP(A82,'Change Summary by catogory'!$A$77:$O$95,15,0)</f>
        <v>0</v>
      </c>
      <c r="I82" s="135">
        <f>+VLOOKUP(A82,'Change Summary by catogory'!$A$77:$S$95,19,0)</f>
        <v>-35</v>
      </c>
      <c r="J82" s="136">
        <f t="shared" si="19"/>
        <v>-35</v>
      </c>
      <c r="K82" s="138"/>
      <c r="L82" s="135"/>
      <c r="M82" s="135"/>
    </row>
    <row r="83" spans="1:13" ht="12.75" outlineLevel="1">
      <c r="A83" s="132" t="s">
        <v>38</v>
      </c>
      <c r="B83" s="131" t="s">
        <v>196</v>
      </c>
      <c r="C83" s="135">
        <f>+VLOOKUP(A83,'Change Summary by catogory'!$A$101:$D$119,4,0)</f>
        <v>34</v>
      </c>
      <c r="D83" s="135">
        <f>+VLOOKUP(A83,'Change Summary by catogory'!$A$101:$H$119,8,0)</f>
        <v>7</v>
      </c>
      <c r="E83" s="135">
        <f>+VLOOKUP(A83,'Change Summary by catogory'!$A$101:$L$119,12,0)</f>
        <v>-43</v>
      </c>
      <c r="F83" s="136">
        <f t="shared" si="18"/>
        <v>-2</v>
      </c>
      <c r="G83" s="137"/>
      <c r="H83" s="135">
        <f>+VLOOKUP(A83,'Change Summary by catogory'!$A$101:$O$119,15,)</f>
        <v>-29</v>
      </c>
      <c r="I83" s="135">
        <f>+VLOOKUP(A84,'Change Summary by catogory'!$A$101:$S$119,19,0)</f>
        <v>0</v>
      </c>
      <c r="J83" s="136">
        <f t="shared" si="19"/>
        <v>-29</v>
      </c>
      <c r="K83" s="138"/>
      <c r="L83" s="135"/>
      <c r="M83" s="135"/>
    </row>
    <row r="84" spans="1:13" ht="12.75" outlineLevel="1">
      <c r="A84" s="132" t="s">
        <v>38</v>
      </c>
      <c r="B84" s="131" t="s">
        <v>5</v>
      </c>
      <c r="C84" s="135">
        <f>+VLOOKUP(A84,'Change Summary by catogory'!$A$125:$D$143,4,0)</f>
        <v>-20</v>
      </c>
      <c r="D84" s="135">
        <f>+VLOOKUP(A84,'Change Summary by catogory'!$A$125:$H$143,8,0)</f>
        <v>0</v>
      </c>
      <c r="E84" s="135">
        <f>+VLOOKUP(A84,'Change Summary by catogory'!$A$125:$L$143,12,0)</f>
        <v>0</v>
      </c>
      <c r="F84" s="136">
        <f t="shared" si="18"/>
        <v>-20</v>
      </c>
      <c r="G84" s="137"/>
      <c r="H84" s="135">
        <f>+VLOOKUP(A84,'Change Summary by catogory'!$A$125:$O$143,15,0)</f>
        <v>0</v>
      </c>
      <c r="I84" s="135">
        <f>+VLOOKUP(A84,'Change Summary by catogory'!$A$125:$S$143,19,0)</f>
        <v>0</v>
      </c>
      <c r="J84" s="136">
        <f t="shared" si="19"/>
        <v>0</v>
      </c>
      <c r="K84" s="138"/>
      <c r="L84" s="135"/>
      <c r="M84" s="135"/>
    </row>
    <row r="85" spans="2:13" ht="13.5" thickBot="1">
      <c r="B85" s="139" t="s">
        <v>215</v>
      </c>
      <c r="C85" s="140">
        <f>+SUM(C79:C84)</f>
        <v>15.00229999999982</v>
      </c>
      <c r="D85" s="140">
        <f>+SUM(D79:D84)</f>
        <v>19.5023500000001</v>
      </c>
      <c r="E85" s="140">
        <f>+SUM(E79:E84)</f>
        <v>-35.497249999999994</v>
      </c>
      <c r="F85" s="140">
        <f>+SUM(F79:F84)</f>
        <v>-0.9926000000000741</v>
      </c>
      <c r="G85" s="137"/>
      <c r="H85" s="140">
        <f>+SUM(H79:H84)</f>
        <v>-61</v>
      </c>
      <c r="I85" s="140">
        <f>+SUM(I79:I84)</f>
        <v>-61</v>
      </c>
      <c r="J85" s="140">
        <f>+SUM(J79:J84)</f>
        <v>-122</v>
      </c>
      <c r="K85" s="137"/>
      <c r="L85" s="140">
        <v>-122</v>
      </c>
      <c r="M85" s="141">
        <f>+(F85+J85)-L85</f>
        <v>-0.992600000000067</v>
      </c>
    </row>
    <row r="86" spans="3:13" ht="12.75">
      <c r="C86" s="135"/>
      <c r="D86" s="135"/>
      <c r="E86" s="135"/>
      <c r="F86" s="136"/>
      <c r="G86" s="137"/>
      <c r="H86" s="135"/>
      <c r="I86" s="135"/>
      <c r="J86" s="136"/>
      <c r="K86" s="138"/>
      <c r="L86" s="135"/>
      <c r="M86" s="135"/>
    </row>
    <row r="87" spans="2:15" s="142" customFormat="1" ht="16.5" thickBot="1">
      <c r="B87" s="143" t="s">
        <v>216</v>
      </c>
      <c r="C87" s="144">
        <f>+C85+C77+C69+C61</f>
        <v>-640.3217000000002</v>
      </c>
      <c r="D87" s="144">
        <f>+D85+D77+D69+D61</f>
        <v>210.6773500000001</v>
      </c>
      <c r="E87" s="144">
        <f>+E85+E77+E69+E61</f>
        <v>-519.30225</v>
      </c>
      <c r="F87" s="144">
        <f>+F85+F77+F69+F61</f>
        <v>-948.9466000000002</v>
      </c>
      <c r="G87" s="145"/>
      <c r="H87" s="144">
        <f>+H85+H77+H69+H61</f>
        <v>-443.519</v>
      </c>
      <c r="I87" s="144">
        <f>+I85+I77+I69+I61</f>
        <v>-447.9425</v>
      </c>
      <c r="J87" s="146">
        <f>+J85+J77+J69+J61</f>
        <v>-891.4614999999999</v>
      </c>
      <c r="K87" s="145"/>
      <c r="L87" s="144">
        <f>+L85+L77+L69+L61</f>
        <v>-1114.0919999999999</v>
      </c>
      <c r="M87" s="144">
        <f>+(F87+J87)-L87</f>
        <v>-726.3161000000002</v>
      </c>
      <c r="O87" s="147"/>
    </row>
    <row r="88" spans="3:13" ht="12.75">
      <c r="C88" s="135"/>
      <c r="D88" s="135"/>
      <c r="E88" s="135"/>
      <c r="F88" s="136"/>
      <c r="G88" s="137"/>
      <c r="H88" s="135"/>
      <c r="I88" s="135"/>
      <c r="J88" s="136"/>
      <c r="K88" s="138"/>
      <c r="L88" s="135"/>
      <c r="M88" s="135"/>
    </row>
    <row r="89" spans="1:13" ht="12.75" outlineLevel="1">
      <c r="A89" s="132" t="s">
        <v>194</v>
      </c>
      <c r="B89" s="131" t="s">
        <v>10</v>
      </c>
      <c r="C89" s="135">
        <f>+VLOOKUP(A89,'Change Summary by catogory'!$A$5:$D$23,4,0)</f>
        <v>0</v>
      </c>
      <c r="D89" s="135">
        <f>+VLOOKUP(A89,'Change Summary by catogory'!$A$5:$H$23,8,0)</f>
        <v>0</v>
      </c>
      <c r="E89" s="135">
        <f>+VLOOKUP(A89,'Change Summary by catogory'!$A$5:$L$23,12,0)</f>
        <v>0</v>
      </c>
      <c r="F89" s="136">
        <f aca="true" t="shared" si="20" ref="F89:F94">+SUM(C89:E89)</f>
        <v>0</v>
      </c>
      <c r="G89" s="137"/>
      <c r="H89" s="135">
        <f>+VLOOKUP(A89,'Change Summary by catogory'!$A$5:$O$23,15,0)</f>
        <v>0</v>
      </c>
      <c r="I89" s="135">
        <f>+VLOOKUP(A89,'Change Summary by catogory'!$A$5:$S$23,19,0)</f>
        <v>0</v>
      </c>
      <c r="J89" s="136">
        <f aca="true" t="shared" si="21" ref="J89:J94">+SUM(H89:I89)</f>
        <v>0</v>
      </c>
      <c r="K89" s="138"/>
      <c r="L89" s="135"/>
      <c r="M89" s="135"/>
    </row>
    <row r="90" spans="1:13" ht="12.75" outlineLevel="1">
      <c r="A90" s="132" t="s">
        <v>194</v>
      </c>
      <c r="B90" s="131" t="s">
        <v>1</v>
      </c>
      <c r="C90" s="135">
        <f>+VLOOKUP(A90,'Change Summary by catogory'!$A$29:$D$47,4,0)</f>
        <v>102</v>
      </c>
      <c r="D90" s="135">
        <f>+VLOOKUP(A90,'Change Summary by catogory'!$A$29:$H$47,8,0)</f>
        <v>-105.33</v>
      </c>
      <c r="E90" s="135">
        <f>+VLOOKUP(A90,'Change Summary by catogory'!$A$29:$L$47,12,0)</f>
        <v>0</v>
      </c>
      <c r="F90" s="136">
        <f t="shared" si="20"/>
        <v>-3.3299999999999983</v>
      </c>
      <c r="G90" s="137"/>
      <c r="H90" s="135">
        <f>+VLOOKUP(A90,'Change Summary by catogory'!$A$29:$O$47,15,0)</f>
        <v>0</v>
      </c>
      <c r="I90" s="135">
        <f>+VLOOKUP(A90,'Change Summary by catogory'!$A$29:$S$47,19,0)</f>
        <v>0</v>
      </c>
      <c r="J90" s="136">
        <f t="shared" si="21"/>
        <v>0</v>
      </c>
      <c r="K90" s="138"/>
      <c r="L90" s="135"/>
      <c r="M90" s="135"/>
    </row>
    <row r="91" spans="1:13" ht="12.75" outlineLevel="1">
      <c r="A91" s="132" t="s">
        <v>194</v>
      </c>
      <c r="B91" s="131" t="s">
        <v>203</v>
      </c>
      <c r="C91" s="135">
        <f>+VLOOKUP(A91,'Change Summary by catogory'!$A$53:$D$71,4,0)</f>
        <v>-1</v>
      </c>
      <c r="D91" s="135">
        <f>+VLOOKUP(A91,'Change Summary by catogory'!$A$53:$H$71,8,0)</f>
        <v>12.8</v>
      </c>
      <c r="E91" s="135">
        <f>+VLOOKUP(A91,'Change Summary by catogory'!$A$53:$L$71,12,0)</f>
        <v>-1.5</v>
      </c>
      <c r="F91" s="136">
        <f t="shared" si="20"/>
        <v>10.3</v>
      </c>
      <c r="G91" s="137"/>
      <c r="H91" s="135">
        <f>+VLOOKUP(A91,'Change Summary by catogory'!$A$53:$O$71,15,0)</f>
        <v>0</v>
      </c>
      <c r="I91" s="135">
        <f>+VLOOKUP(A91,'Change Summary by catogory'!$A$53:$S$71,19,0)</f>
        <v>0</v>
      </c>
      <c r="J91" s="136">
        <f t="shared" si="21"/>
        <v>0</v>
      </c>
      <c r="K91" s="138"/>
      <c r="L91" s="135"/>
      <c r="M91" s="135"/>
    </row>
    <row r="92" spans="1:13" ht="12.75" outlineLevel="1">
      <c r="A92" s="132" t="s">
        <v>194</v>
      </c>
      <c r="B92" s="131" t="s">
        <v>204</v>
      </c>
      <c r="C92" s="135">
        <f>+VLOOKUP(A92,'Change Summary by catogory'!$A$77:$D$95,4,0)</f>
        <v>30</v>
      </c>
      <c r="D92" s="135">
        <f>+VLOOKUP(A92,'Change Summary by catogory'!$A$77:$H$95,8,0)</f>
        <v>-30</v>
      </c>
      <c r="E92" s="135">
        <f>+VLOOKUP(A92,'Change Summary by catogory'!$A$77:$L$95,12,0)</f>
        <v>0</v>
      </c>
      <c r="F92" s="136">
        <f t="shared" si="20"/>
        <v>0</v>
      </c>
      <c r="G92" s="137"/>
      <c r="H92" s="135">
        <f>+VLOOKUP(A92,'Change Summary by catogory'!$A$77:$O$95,15,0)</f>
        <v>0</v>
      </c>
      <c r="I92" s="135">
        <f>+VLOOKUP(A92,'Change Summary by catogory'!$A$77:$S$95,19,0)</f>
        <v>0</v>
      </c>
      <c r="J92" s="136">
        <f t="shared" si="21"/>
        <v>0</v>
      </c>
      <c r="K92" s="138"/>
      <c r="L92" s="135"/>
      <c r="M92" s="135"/>
    </row>
    <row r="93" spans="1:13" ht="12.75" outlineLevel="1">
      <c r="A93" s="132" t="s">
        <v>194</v>
      </c>
      <c r="B93" s="131" t="s">
        <v>196</v>
      </c>
      <c r="C93" s="135">
        <f>+VLOOKUP(A93,'Change Summary by catogory'!$A$101:$D$119,4,0)</f>
        <v>23.239999999999995</v>
      </c>
      <c r="D93" s="135">
        <f>+VLOOKUP(A93,'Change Summary by catogory'!$A$101:$H$119,8,0)</f>
        <v>-35.5</v>
      </c>
      <c r="E93" s="135">
        <f>+VLOOKUP(A93,'Change Summary by catogory'!$A$101:$L$119,12,0)</f>
        <v>15.400000000000006</v>
      </c>
      <c r="F93" s="136">
        <f t="shared" si="20"/>
        <v>3.1400000000000006</v>
      </c>
      <c r="G93" s="137"/>
      <c r="H93" s="135">
        <f>+VLOOKUP(A93,'Change Summary by catogory'!$A$101:$O$119,15,)</f>
        <v>-39.5</v>
      </c>
      <c r="I93" s="135">
        <f>+VLOOKUP(A94,'Change Summary by catogory'!$A$101:$S$119,19,0)</f>
        <v>-28.5</v>
      </c>
      <c r="J93" s="136">
        <f t="shared" si="21"/>
        <v>-68</v>
      </c>
      <c r="K93" s="138"/>
      <c r="L93" s="135"/>
      <c r="M93" s="135"/>
    </row>
    <row r="94" spans="1:13" ht="12.75" outlineLevel="1">
      <c r="A94" s="132" t="s">
        <v>194</v>
      </c>
      <c r="B94" s="131" t="s">
        <v>5</v>
      </c>
      <c r="C94" s="135">
        <f>+VLOOKUP(A94,'Change Summary by catogory'!$A$125:$D$143,4,0)</f>
        <v>0</v>
      </c>
      <c r="D94" s="135">
        <f>+VLOOKUP(A94,'Change Summary by catogory'!$A$125:$H$143,8,0)</f>
        <v>34.6</v>
      </c>
      <c r="E94" s="135">
        <f>+VLOOKUP(A94,'Change Summary by catogory'!$A$125:$L$143,12,0)</f>
        <v>0</v>
      </c>
      <c r="F94" s="136">
        <f t="shared" si="20"/>
        <v>34.6</v>
      </c>
      <c r="G94" s="137"/>
      <c r="H94" s="135">
        <f>+VLOOKUP(A94,'Change Summary by catogory'!$A$125:$O$143,15,0)</f>
        <v>-17</v>
      </c>
      <c r="I94" s="135">
        <f>+VLOOKUP(A94,'Change Summary by catogory'!$A$125:$S$143,19,0)</f>
        <v>0</v>
      </c>
      <c r="J94" s="136">
        <f t="shared" si="21"/>
        <v>-17</v>
      </c>
      <c r="K94" s="138"/>
      <c r="L94" s="135"/>
      <c r="M94" s="135"/>
    </row>
    <row r="95" spans="1:13" ht="13.5" thickBot="1">
      <c r="A95" s="132"/>
      <c r="B95" s="139" t="s">
        <v>217</v>
      </c>
      <c r="C95" s="140">
        <f>+SUM(C89:C94)</f>
        <v>154.24</v>
      </c>
      <c r="D95" s="140">
        <f>+SUM(D89:D94)</f>
        <v>-123.43</v>
      </c>
      <c r="E95" s="140">
        <f>+SUM(E89:E94)</f>
        <v>13.900000000000006</v>
      </c>
      <c r="F95" s="140">
        <f>+SUM(F89:F94)</f>
        <v>44.71000000000001</v>
      </c>
      <c r="G95" s="137"/>
      <c r="H95" s="140">
        <f>+SUM(H89:H94)</f>
        <v>-56.5</v>
      </c>
      <c r="I95" s="140">
        <f>+SUM(I89:I94)</f>
        <v>-28.5</v>
      </c>
      <c r="J95" s="140">
        <f>+SUM(J89:J94)</f>
        <v>-85</v>
      </c>
      <c r="K95" s="137"/>
      <c r="L95" s="140">
        <v>-32.719</v>
      </c>
      <c r="M95" s="141">
        <f>+(F95+J95)-L95</f>
        <v>-7.570999999999991</v>
      </c>
    </row>
    <row r="96" spans="1:13" ht="12.75">
      <c r="A96" s="132"/>
      <c r="C96" s="135"/>
      <c r="D96" s="135"/>
      <c r="E96" s="135"/>
      <c r="F96" s="136"/>
      <c r="G96" s="137"/>
      <c r="H96" s="135"/>
      <c r="I96" s="135"/>
      <c r="J96" s="136"/>
      <c r="K96" s="138"/>
      <c r="L96" s="135"/>
      <c r="M96" s="135"/>
    </row>
    <row r="97" spans="1:13" ht="12.75" outlineLevel="1">
      <c r="A97" s="132" t="s">
        <v>14</v>
      </c>
      <c r="B97" s="131" t="s">
        <v>10</v>
      </c>
      <c r="C97" s="135">
        <f>+VLOOKUP(A97,'Change Summary by catogory'!$A$5:$D$23,4,0)</f>
        <v>0</v>
      </c>
      <c r="D97" s="135">
        <f>+VLOOKUP(A97,'Change Summary by catogory'!$A$5:$H$23,8,0)</f>
        <v>0</v>
      </c>
      <c r="E97" s="135">
        <f>+VLOOKUP(A97,'Change Summary by catogory'!$A$5:$L$23,12,0)</f>
        <v>0</v>
      </c>
      <c r="F97" s="136">
        <f aca="true" t="shared" si="22" ref="F97:F102">+SUM(C97:E97)</f>
        <v>0</v>
      </c>
      <c r="G97" s="137"/>
      <c r="H97" s="135">
        <f>+VLOOKUP(A97,'Change Summary by catogory'!$A$5:$O$23,15,0)</f>
        <v>0</v>
      </c>
      <c r="I97" s="135">
        <f>+VLOOKUP(A97,'Change Summary by catogory'!$A$5:$S$23,19,0)</f>
        <v>0</v>
      </c>
      <c r="J97" s="136">
        <f aca="true" t="shared" si="23" ref="J97:J102">+SUM(H97:I97)</f>
        <v>0</v>
      </c>
      <c r="K97" s="138"/>
      <c r="L97" s="135"/>
      <c r="M97" s="135"/>
    </row>
    <row r="98" spans="1:13" ht="12.75" outlineLevel="1">
      <c r="A98" s="132" t="s">
        <v>14</v>
      </c>
      <c r="B98" s="131" t="s">
        <v>1</v>
      </c>
      <c r="C98" s="135">
        <f>+VLOOKUP(A98,'Change Summary by catogory'!$A$29:$D$47,4,0)</f>
        <v>0</v>
      </c>
      <c r="D98" s="135">
        <f>+VLOOKUP(A98,'Change Summary by catogory'!$A$29:$H$47,8,0)</f>
        <v>0</v>
      </c>
      <c r="E98" s="135">
        <f>+VLOOKUP(A98,'Change Summary by catogory'!$A$29:$L$47,12,0)</f>
        <v>0</v>
      </c>
      <c r="F98" s="136">
        <f t="shared" si="22"/>
        <v>0</v>
      </c>
      <c r="G98" s="137"/>
      <c r="H98" s="135">
        <f>+VLOOKUP(A98,'Change Summary by catogory'!$A$29:$O$47,15,0)</f>
        <v>0</v>
      </c>
      <c r="I98" s="135">
        <f>+VLOOKUP(A98,'Change Summary by catogory'!$A$29:$S$47,19,0)</f>
        <v>0</v>
      </c>
      <c r="J98" s="136">
        <f t="shared" si="23"/>
        <v>0</v>
      </c>
      <c r="K98" s="138"/>
      <c r="L98" s="135"/>
      <c r="M98" s="135"/>
    </row>
    <row r="99" spans="1:13" ht="12.75" outlineLevel="1">
      <c r="A99" s="132" t="s">
        <v>14</v>
      </c>
      <c r="B99" s="131" t="s">
        <v>203</v>
      </c>
      <c r="C99" s="135">
        <f>+VLOOKUP(A99,'Change Summary by catogory'!$A$53:$D$71,4,0)</f>
        <v>-21</v>
      </c>
      <c r="D99" s="135">
        <f>+VLOOKUP(A99,'Change Summary by catogory'!$A$53:$H$71,8,0)</f>
        <v>-6</v>
      </c>
      <c r="E99" s="135">
        <f>+VLOOKUP(A99,'Change Summary by catogory'!$A$53:$L$71,12,0)</f>
        <v>0</v>
      </c>
      <c r="F99" s="136">
        <f t="shared" si="22"/>
        <v>-27</v>
      </c>
      <c r="G99" s="137"/>
      <c r="H99" s="135">
        <f>+VLOOKUP(A99,'Change Summary by catogory'!$A$53:$O$71,15,0)</f>
        <v>0</v>
      </c>
      <c r="I99" s="135">
        <f>+VLOOKUP(A99,'Change Summary by catogory'!$A$53:$S$71,19,0)</f>
        <v>0</v>
      </c>
      <c r="J99" s="136">
        <f t="shared" si="23"/>
        <v>0</v>
      </c>
      <c r="K99" s="138"/>
      <c r="L99" s="135"/>
      <c r="M99" s="135"/>
    </row>
    <row r="100" spans="1:13" ht="12.75" outlineLevel="1">
      <c r="A100" s="132" t="s">
        <v>14</v>
      </c>
      <c r="B100" s="131" t="s">
        <v>204</v>
      </c>
      <c r="C100" s="135">
        <f>+VLOOKUP(A100,'Change Summary by catogory'!$A$77:$D$95,4,0)</f>
        <v>0</v>
      </c>
      <c r="D100" s="135">
        <f>+VLOOKUP(A100,'Change Summary by catogory'!$A$77:$H$95,8,0)</f>
        <v>0</v>
      </c>
      <c r="E100" s="135">
        <f>+VLOOKUP(A100,'Change Summary by catogory'!$A$77:$L$95,12,0)</f>
        <v>0</v>
      </c>
      <c r="F100" s="136">
        <f t="shared" si="22"/>
        <v>0</v>
      </c>
      <c r="G100" s="137"/>
      <c r="H100" s="135">
        <f>+VLOOKUP(A100,'Change Summary by catogory'!$A$77:$O$95,15,0)</f>
        <v>0</v>
      </c>
      <c r="I100" s="135">
        <f>+VLOOKUP(A100,'Change Summary by catogory'!$A$77:$S$95,19,0)</f>
        <v>0</v>
      </c>
      <c r="J100" s="136">
        <f t="shared" si="23"/>
        <v>0</v>
      </c>
      <c r="K100" s="138"/>
      <c r="L100" s="135"/>
      <c r="M100" s="135"/>
    </row>
    <row r="101" spans="1:13" ht="12.75" outlineLevel="1">
      <c r="A101" s="132" t="s">
        <v>14</v>
      </c>
      <c r="B101" s="131" t="s">
        <v>196</v>
      </c>
      <c r="C101" s="135">
        <f>+VLOOKUP(A101,'Change Summary by catogory'!$A$101:$D$119,4,0)</f>
        <v>0</v>
      </c>
      <c r="D101" s="135">
        <f>+VLOOKUP(A101,'Change Summary by catogory'!$A$101:$H$119,8,0)</f>
        <v>-20</v>
      </c>
      <c r="E101" s="135">
        <f>+VLOOKUP(A101,'Change Summary by catogory'!$A$101:$L$119,12,0)</f>
        <v>60</v>
      </c>
      <c r="F101" s="136">
        <f t="shared" si="22"/>
        <v>40</v>
      </c>
      <c r="G101" s="137"/>
      <c r="H101" s="135">
        <f>+VLOOKUP(A101,'Change Summary by catogory'!$A$101:$O$119,15,)</f>
        <v>-18.463</v>
      </c>
      <c r="I101" s="135">
        <f>+VLOOKUP(A102,'Change Summary by catogory'!$A$101:$S$119,19,0)</f>
        <v>-17.974</v>
      </c>
      <c r="J101" s="136">
        <f t="shared" si="23"/>
        <v>-36.437</v>
      </c>
      <c r="K101" s="138"/>
      <c r="L101" s="135"/>
      <c r="M101" s="135"/>
    </row>
    <row r="102" spans="1:13" ht="12.75" outlineLevel="1">
      <c r="A102" s="132" t="s">
        <v>14</v>
      </c>
      <c r="B102" s="131" t="s">
        <v>5</v>
      </c>
      <c r="C102" s="135">
        <f>+VLOOKUP(A102,'Change Summary by catogory'!$A$125:$D$143,4,0)</f>
        <v>0</v>
      </c>
      <c r="D102" s="135">
        <f>+VLOOKUP(A102,'Change Summary by catogory'!$A$125:$H$143,8,0)</f>
        <v>-26</v>
      </c>
      <c r="E102" s="135">
        <f>+VLOOKUP(A102,'Change Summary by catogory'!$A$125:$L$143,12,0)</f>
        <v>0</v>
      </c>
      <c r="F102" s="136">
        <f t="shared" si="22"/>
        <v>-26</v>
      </c>
      <c r="G102" s="137"/>
      <c r="H102" s="135">
        <f>+VLOOKUP(A102,'Change Summary by catogory'!$A$125:$O$143,15,0)</f>
        <v>0</v>
      </c>
      <c r="I102" s="135">
        <f>+VLOOKUP(A102,'Change Summary by catogory'!$A$125:$S$143,19,0)</f>
        <v>0</v>
      </c>
      <c r="J102" s="136">
        <f t="shared" si="23"/>
        <v>0</v>
      </c>
      <c r="K102" s="138"/>
      <c r="L102" s="135"/>
      <c r="M102" s="135"/>
    </row>
    <row r="103" spans="1:13" ht="13.5" thickBot="1">
      <c r="A103" s="132"/>
      <c r="B103" s="139" t="s">
        <v>218</v>
      </c>
      <c r="C103" s="140">
        <f>+SUM(C97:C102)</f>
        <v>-21</v>
      </c>
      <c r="D103" s="140">
        <f>+SUM(D97:D102)</f>
        <v>-52</v>
      </c>
      <c r="E103" s="140">
        <f>+SUM(E97:E102)</f>
        <v>60</v>
      </c>
      <c r="F103" s="140">
        <f>+SUM(F97:F102)</f>
        <v>-13</v>
      </c>
      <c r="G103" s="137"/>
      <c r="H103" s="140">
        <f>+SUM(H97:H102)</f>
        <v>-18.463</v>
      </c>
      <c r="I103" s="140">
        <f>+SUM(I97:I102)</f>
        <v>-17.974</v>
      </c>
      <c r="J103" s="140">
        <f>+SUM(J97:J102)</f>
        <v>-36.437</v>
      </c>
      <c r="K103" s="137"/>
      <c r="L103" s="140">
        <v>-48.437</v>
      </c>
      <c r="M103" s="141">
        <f>+(F103+J103)-L103</f>
        <v>-1</v>
      </c>
    </row>
    <row r="104" spans="1:13" ht="12.75">
      <c r="A104" s="132"/>
      <c r="C104" s="135"/>
      <c r="D104" s="135"/>
      <c r="E104" s="135"/>
      <c r="F104" s="136"/>
      <c r="G104" s="137"/>
      <c r="H104" s="135"/>
      <c r="I104" s="135"/>
      <c r="J104" s="136"/>
      <c r="K104" s="138"/>
      <c r="L104" s="135"/>
      <c r="M104" s="135"/>
    </row>
    <row r="105" spans="1:13" ht="12.75" outlineLevel="1">
      <c r="A105" s="132" t="s">
        <v>193</v>
      </c>
      <c r="B105" s="131" t="s">
        <v>10</v>
      </c>
      <c r="C105" s="135">
        <f>+VLOOKUP(A105,'Change Summary by catogory'!$A$5:$D$23,4,0)</f>
        <v>0</v>
      </c>
      <c r="D105" s="135">
        <f>+VLOOKUP(A105,'Change Summary by catogory'!$A$5:$H$23,8,0)</f>
        <v>0</v>
      </c>
      <c r="E105" s="135">
        <f>+VLOOKUP(A105,'Change Summary by catogory'!$A$5:$L$23,12,0)</f>
        <v>0</v>
      </c>
      <c r="F105" s="136">
        <f aca="true" t="shared" si="24" ref="F105:F110">+SUM(C105:E105)</f>
        <v>0</v>
      </c>
      <c r="G105" s="137"/>
      <c r="H105" s="135">
        <f>+VLOOKUP(A105,'Change Summary by catogory'!$A$5:$O$23,15,0)</f>
        <v>0</v>
      </c>
      <c r="I105" s="135">
        <f>+VLOOKUP(A105,'Change Summary by catogory'!$A$5:$S$23,19,0)</f>
        <v>0</v>
      </c>
      <c r="J105" s="136">
        <f aca="true" t="shared" si="25" ref="J105:J110">+SUM(H105:I105)</f>
        <v>0</v>
      </c>
      <c r="K105" s="138"/>
      <c r="L105" s="135"/>
      <c r="M105" s="135"/>
    </row>
    <row r="106" spans="1:13" ht="12.75" outlineLevel="1">
      <c r="A106" s="132" t="s">
        <v>193</v>
      </c>
      <c r="B106" s="131" t="s">
        <v>1</v>
      </c>
      <c r="C106" s="135">
        <f>+VLOOKUP(A106,'Change Summary by catogory'!$A$29:$D$47,4,0)</f>
        <v>0</v>
      </c>
      <c r="D106" s="135">
        <f>+VLOOKUP(A106,'Change Summary by catogory'!$A$29:$H$47,8,0)</f>
        <v>0</v>
      </c>
      <c r="E106" s="135">
        <f>+VLOOKUP(A106,'Change Summary by catogory'!$A$29:$L$47,12,0)</f>
        <v>0</v>
      </c>
      <c r="F106" s="136">
        <f t="shared" si="24"/>
        <v>0</v>
      </c>
      <c r="G106" s="137"/>
      <c r="H106" s="135">
        <f>+VLOOKUP(A106,'Change Summary by catogory'!$A$29:$O$47,15,0)</f>
        <v>0</v>
      </c>
      <c r="I106" s="135">
        <f>+VLOOKUP(A106,'Change Summary by catogory'!$A$29:$S$47,19,0)</f>
        <v>0</v>
      </c>
      <c r="J106" s="136">
        <f t="shared" si="25"/>
        <v>0</v>
      </c>
      <c r="K106" s="138"/>
      <c r="L106" s="135"/>
      <c r="M106" s="135"/>
    </row>
    <row r="107" spans="1:13" ht="12.75" outlineLevel="1">
      <c r="A107" s="132" t="s">
        <v>193</v>
      </c>
      <c r="B107" s="131" t="s">
        <v>203</v>
      </c>
      <c r="C107" s="135">
        <f>+VLOOKUP(A107,'Change Summary by catogory'!$A$53:$D$71,4,0)</f>
        <v>-33</v>
      </c>
      <c r="D107" s="135">
        <f>+VLOOKUP(A107,'Change Summary by catogory'!$A$53:$H$71,8,0)</f>
        <v>36.5</v>
      </c>
      <c r="E107" s="135">
        <f>+VLOOKUP(A107,'Change Summary by catogory'!$A$53:$L$71,12,0)</f>
        <v>15</v>
      </c>
      <c r="F107" s="136">
        <f t="shared" si="24"/>
        <v>18.5</v>
      </c>
      <c r="G107" s="137"/>
      <c r="H107" s="135">
        <f>+VLOOKUP(A107,'Change Summary by catogory'!$A$53:$O$71,15,0)</f>
        <v>-5.359</v>
      </c>
      <c r="I107" s="135">
        <f>+VLOOKUP(A107,'Change Summary by catogory'!$A$53:$S$71,19,0)</f>
        <v>-5.272</v>
      </c>
      <c r="J107" s="136">
        <f t="shared" si="25"/>
        <v>-10.631</v>
      </c>
      <c r="K107" s="138"/>
      <c r="L107" s="135"/>
      <c r="M107" s="135"/>
    </row>
    <row r="108" spans="1:13" ht="12.75" outlineLevel="1">
      <c r="A108" s="132" t="s">
        <v>193</v>
      </c>
      <c r="B108" s="131" t="s">
        <v>204</v>
      </c>
      <c r="C108" s="135">
        <f>+VLOOKUP(A108,'Change Summary by catogory'!$A$77:$D$95,4,0)</f>
        <v>0</v>
      </c>
      <c r="D108" s="135">
        <f>+VLOOKUP(A108,'Change Summary by catogory'!$A$77:$H$95,8,0)</f>
        <v>0</v>
      </c>
      <c r="E108" s="135">
        <f>+VLOOKUP(A108,'Change Summary by catogory'!$A$77:$L$95,12,0)</f>
        <v>0</v>
      </c>
      <c r="F108" s="136">
        <f t="shared" si="24"/>
        <v>0</v>
      </c>
      <c r="G108" s="137"/>
      <c r="H108" s="135">
        <f>+VLOOKUP(A108,'Change Summary by catogory'!$A$77:$O$95,15,0)</f>
        <v>0</v>
      </c>
      <c r="I108" s="135">
        <f>+VLOOKUP(A108,'Change Summary by catogory'!$A$77:$S$95,19,0)</f>
        <v>0</v>
      </c>
      <c r="J108" s="136">
        <f t="shared" si="25"/>
        <v>0</v>
      </c>
      <c r="K108" s="138"/>
      <c r="L108" s="135"/>
      <c r="M108" s="135"/>
    </row>
    <row r="109" spans="1:13" ht="12.75" outlineLevel="1">
      <c r="A109" s="132" t="s">
        <v>193</v>
      </c>
      <c r="B109" s="131" t="s">
        <v>196</v>
      </c>
      <c r="C109" s="135">
        <f>+VLOOKUP(A109,'Change Summary by catogory'!$A$101:$D$119,4,0)</f>
        <v>20</v>
      </c>
      <c r="D109" s="135">
        <f>+VLOOKUP(A109,'Change Summary by catogory'!$A$101:$H$119,8,0)</f>
        <v>20</v>
      </c>
      <c r="E109" s="135">
        <f>+VLOOKUP(A109,'Change Summary by catogory'!$A$101:$L$119,12,0)</f>
        <v>20</v>
      </c>
      <c r="F109" s="136">
        <f t="shared" si="24"/>
        <v>60</v>
      </c>
      <c r="G109" s="137"/>
      <c r="H109" s="135">
        <f>+VLOOKUP(A109,'Change Summary by catogory'!$A$101:$O$119,15,)</f>
        <v>-5</v>
      </c>
      <c r="I109" s="135">
        <f>+VLOOKUP(A110,'Change Summary by catogory'!$A$101:$S$119,19,0)</f>
        <v>-5</v>
      </c>
      <c r="J109" s="136">
        <f t="shared" si="25"/>
        <v>-10</v>
      </c>
      <c r="K109" s="138"/>
      <c r="L109" s="135"/>
      <c r="M109" s="135"/>
    </row>
    <row r="110" spans="1:13" ht="12.75" outlineLevel="1">
      <c r="A110" s="132" t="s">
        <v>193</v>
      </c>
      <c r="B110" s="131" t="s">
        <v>5</v>
      </c>
      <c r="C110" s="135">
        <f>+VLOOKUP(A110,'Change Summary by catogory'!$A$125:$D$143,4,0)</f>
        <v>-17.5</v>
      </c>
      <c r="D110" s="135">
        <f>+VLOOKUP(A110,'Change Summary by catogory'!$A$125:$H$143,8,0)</f>
        <v>28</v>
      </c>
      <c r="E110" s="135">
        <f>+VLOOKUP(A110,'Change Summary by catogory'!$A$125:$L$143,12,0)</f>
        <v>0</v>
      </c>
      <c r="F110" s="136">
        <f t="shared" si="24"/>
        <v>10.5</v>
      </c>
      <c r="G110" s="137"/>
      <c r="H110" s="135">
        <f>+VLOOKUP(A110,'Change Summary by catogory'!$A$125:$O$143,15,0)</f>
        <v>-28</v>
      </c>
      <c r="I110" s="135">
        <f>+VLOOKUP(A110,'Change Summary by catogory'!$A$125:$S$143,19,0)</f>
        <v>0</v>
      </c>
      <c r="J110" s="136">
        <f t="shared" si="25"/>
        <v>-28</v>
      </c>
      <c r="K110" s="138"/>
      <c r="L110" s="135"/>
      <c r="M110" s="135"/>
    </row>
    <row r="111" spans="2:13" ht="13.5" thickBot="1">
      <c r="B111" s="139" t="s">
        <v>219</v>
      </c>
      <c r="C111" s="140">
        <f>+SUM(C105:C110)</f>
        <v>-30.5</v>
      </c>
      <c r="D111" s="140">
        <f>+SUM(D105:D110)</f>
        <v>84.5</v>
      </c>
      <c r="E111" s="140">
        <f>+SUM(E105:E110)</f>
        <v>35</v>
      </c>
      <c r="F111" s="140">
        <f>+SUM(F105:F110)</f>
        <v>89</v>
      </c>
      <c r="G111" s="137"/>
      <c r="H111" s="140">
        <f>+SUM(H105:H110)</f>
        <v>-38.359</v>
      </c>
      <c r="I111" s="140">
        <f>+SUM(I105:I110)</f>
        <v>-10.272</v>
      </c>
      <c r="J111" s="140">
        <f>+SUM(J105:J110)</f>
        <v>-48.631</v>
      </c>
      <c r="K111" s="137"/>
      <c r="L111" s="140">
        <v>-92.635</v>
      </c>
      <c r="M111" s="141">
        <f>+(F111+J111)-L111</f>
        <v>133.00400000000002</v>
      </c>
    </row>
    <row r="112" spans="2:13" ht="12.75">
      <c r="B112" s="148"/>
      <c r="C112" s="149"/>
      <c r="D112" s="135"/>
      <c r="E112" s="135"/>
      <c r="F112" s="136"/>
      <c r="G112" s="137"/>
      <c r="H112" s="135"/>
      <c r="I112" s="135"/>
      <c r="J112" s="136"/>
      <c r="K112" s="138"/>
      <c r="L112" s="135"/>
      <c r="M112" s="135"/>
    </row>
    <row r="113" spans="2:15" s="142" customFormat="1" ht="16.5" thickBot="1">
      <c r="B113" s="143" t="s">
        <v>221</v>
      </c>
      <c r="C113" s="144">
        <f>+C111+C103+C95</f>
        <v>102.74000000000001</v>
      </c>
      <c r="D113" s="144">
        <f>+D111+D103+D95</f>
        <v>-90.93</v>
      </c>
      <c r="E113" s="144">
        <f>+E111+E103+E95</f>
        <v>108.9</v>
      </c>
      <c r="F113" s="144">
        <f>+F111+F103+F95</f>
        <v>120.71000000000001</v>
      </c>
      <c r="G113" s="145"/>
      <c r="H113" s="144">
        <f>+H111+H103+H95</f>
        <v>-113.322</v>
      </c>
      <c r="I113" s="144">
        <f>+I111+I103+I95</f>
        <v>-56.746</v>
      </c>
      <c r="J113" s="146">
        <f>+J111+J103+J95</f>
        <v>-170.06799999999998</v>
      </c>
      <c r="K113" s="145"/>
      <c r="L113" s="144">
        <f>+L111+L103+L95</f>
        <v>-173.791</v>
      </c>
      <c r="M113" s="144">
        <f>+(F113+J113)-L113</f>
        <v>124.43300000000002</v>
      </c>
      <c r="O113" s="147"/>
    </row>
    <row r="114" spans="3:13" ht="12.75">
      <c r="C114" s="135"/>
      <c r="D114" s="135"/>
      <c r="E114" s="135"/>
      <c r="F114" s="136"/>
      <c r="G114" s="137"/>
      <c r="H114" s="135"/>
      <c r="I114" s="135"/>
      <c r="J114" s="136"/>
      <c r="K114" s="138"/>
      <c r="L114" s="135"/>
      <c r="M114" s="135"/>
    </row>
    <row r="115" spans="2:15" s="154" customFormat="1" ht="20.25" thickBot="1">
      <c r="B115" s="150" t="s">
        <v>222</v>
      </c>
      <c r="C115" s="151">
        <f>+C113+C87+C53+C27</f>
        <v>-533.7128830000001</v>
      </c>
      <c r="D115" s="151">
        <f>+D113+D87+D53+D27</f>
        <v>260.1152578500001</v>
      </c>
      <c r="E115" s="151">
        <f>+E113+E87+E53+E27</f>
        <v>-165.6009467574998</v>
      </c>
      <c r="F115" s="151">
        <f>+F113+F87+F53+F27</f>
        <v>-439.19857190749997</v>
      </c>
      <c r="G115" s="152"/>
      <c r="H115" s="151">
        <f>+H113+H87+H53+H27</f>
        <v>-1184.7649999999999</v>
      </c>
      <c r="I115" s="151">
        <f>+I113+I87+I53+I27</f>
        <v>-641.1945</v>
      </c>
      <c r="J115" s="153">
        <f>+J113+J87+J53+J27</f>
        <v>-1825.9594999999997</v>
      </c>
      <c r="K115" s="152"/>
      <c r="L115" s="151">
        <f>+L113+L87+L53+L27</f>
        <v>-2099.3999999999996</v>
      </c>
      <c r="M115" s="151">
        <f>+(F115+J115)-L115</f>
        <v>-165.75807190749993</v>
      </c>
      <c r="O115" s="155"/>
    </row>
  </sheetData>
  <printOptions/>
  <pageMargins left="0.75" right="0.75" top="1" bottom="1" header="0.5" footer="0.5"/>
  <pageSetup fitToHeight="1" fitToWidth="1" horizontalDpi="600" verticalDpi="600" orientation="portrait" paperSize="8" scale="66" r:id="rId1"/>
  <headerFooter alignWithMargins="0">
    <oddFooter>&amp;C&amp;P</oddFooter>
  </headerFooter>
  <rowBreaks count="3" manualBreakCount="3">
    <brk id="27" max="255" man="1"/>
    <brk id="53" max="255" man="1"/>
    <brk id="8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117"/>
  <sheetViews>
    <sheetView tabSelected="1" view="pageBreakPreview" zoomScale="60" zoomScaleNormal="70" workbookViewId="0" topLeftCell="A1">
      <pane xSplit="1" ySplit="3" topLeftCell="B65" activePane="bottomRight" state="frozen"/>
      <selection pane="topLeft" activeCell="AL46" sqref="AL46"/>
      <selection pane="topRight" activeCell="AL46" sqref="AL46"/>
      <selection pane="bottomLeft" activeCell="AL46" sqref="AL46"/>
      <selection pane="bottomRight" activeCell="AL46" sqref="AL46"/>
    </sheetView>
  </sheetViews>
  <sheetFormatPr defaultColWidth="9.140625" defaultRowHeight="12.75" outlineLevelCol="1"/>
  <cols>
    <col min="1" max="1" width="33.28125" style="30" bestFit="1" customWidth="1"/>
    <col min="2" max="2" width="12.7109375" style="12" customWidth="1"/>
    <col min="3" max="3" width="14.7109375" style="12" customWidth="1"/>
    <col min="4" max="7" width="12.7109375" style="12" customWidth="1"/>
    <col min="8" max="9" width="14.140625" style="12" customWidth="1"/>
    <col min="10" max="10" width="12.7109375" style="12" customWidth="1"/>
    <col min="11" max="11" width="11.7109375" style="12" bestFit="1" customWidth="1"/>
    <col min="12" max="13" width="0" style="12" hidden="1" customWidth="1" outlineLevel="1"/>
    <col min="14" max="14" width="76.8515625" style="75" hidden="1" customWidth="1" collapsed="1"/>
    <col min="15" max="15" width="18.00390625" style="92" hidden="1" customWidth="1" collapsed="1"/>
    <col min="16" max="16" width="16.421875" style="67" hidden="1" customWidth="1"/>
    <col min="17" max="17" width="13.28125" style="12" hidden="1" customWidth="1"/>
    <col min="18" max="18" width="0" style="12" hidden="1" customWidth="1"/>
    <col min="19" max="19" width="14.421875" style="99" hidden="1" customWidth="1"/>
    <col min="20" max="35" width="0" style="12" hidden="1" customWidth="1"/>
    <col min="36" max="16384" width="9.140625" style="12" customWidth="1"/>
  </cols>
  <sheetData>
    <row r="1" spans="1:16" ht="27.75">
      <c r="A1" s="158" t="s">
        <v>118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  <c r="N1" s="68"/>
      <c r="O1" s="85"/>
      <c r="P1" s="61"/>
    </row>
    <row r="2" spans="1:19" ht="90.75" customHeight="1">
      <c r="A2" s="32"/>
      <c r="B2" s="4" t="s">
        <v>6</v>
      </c>
      <c r="C2" s="5" t="s">
        <v>10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246</v>
      </c>
      <c r="J2" s="5" t="s">
        <v>98</v>
      </c>
      <c r="K2" s="2" t="s">
        <v>114</v>
      </c>
      <c r="N2" s="96" t="s">
        <v>136</v>
      </c>
      <c r="O2" s="97"/>
      <c r="P2" s="96" t="s">
        <v>174</v>
      </c>
      <c r="Q2" s="96" t="s">
        <v>176</v>
      </c>
      <c r="S2" s="96" t="s">
        <v>175</v>
      </c>
    </row>
    <row r="3" spans="1:16" ht="13.5" customHeight="1">
      <c r="A3" s="52"/>
      <c r="B3" s="24" t="s">
        <v>73</v>
      </c>
      <c r="C3" s="7" t="s">
        <v>73</v>
      </c>
      <c r="D3" s="7" t="s">
        <v>73</v>
      </c>
      <c r="E3" s="7" t="s">
        <v>73</v>
      </c>
      <c r="F3" s="7" t="s">
        <v>73</v>
      </c>
      <c r="G3" s="7" t="s">
        <v>73</v>
      </c>
      <c r="H3" s="7" t="s">
        <v>73</v>
      </c>
      <c r="I3" s="7" t="s">
        <v>73</v>
      </c>
      <c r="J3" s="7" t="s">
        <v>73</v>
      </c>
      <c r="K3" s="4"/>
      <c r="N3" s="69"/>
      <c r="O3" s="86"/>
      <c r="P3" s="62"/>
    </row>
    <row r="4" spans="1:16" ht="12.75">
      <c r="A4" s="25" t="s">
        <v>24</v>
      </c>
      <c r="B4" s="34">
        <f>+B6+B13+B19</f>
        <v>5062.915000000001</v>
      </c>
      <c r="C4" s="35">
        <f aca="true" t="shared" si="0" ref="C4:I4">+C6+C13+C19</f>
        <v>0</v>
      </c>
      <c r="D4" s="35">
        <f t="shared" si="0"/>
        <v>117</v>
      </c>
      <c r="E4" s="35">
        <f t="shared" si="0"/>
        <v>-617.1</v>
      </c>
      <c r="F4" s="35">
        <f t="shared" si="0"/>
        <v>-10</v>
      </c>
      <c r="G4" s="35">
        <f t="shared" si="0"/>
        <v>-241</v>
      </c>
      <c r="H4" s="35">
        <f t="shared" si="0"/>
        <v>-32</v>
      </c>
      <c r="I4" s="35">
        <f t="shared" si="0"/>
        <v>349</v>
      </c>
      <c r="J4" s="35">
        <f>+J6+J13+J19</f>
        <v>4628.815000000001</v>
      </c>
      <c r="K4" s="77">
        <f>+(J4-B4)/B4</f>
        <v>-0.08574111949341424</v>
      </c>
      <c r="N4" s="70"/>
      <c r="O4" s="87"/>
      <c r="P4" s="63"/>
    </row>
    <row r="5" spans="1:16" ht="12.75">
      <c r="A5" s="26"/>
      <c r="B5" s="36"/>
      <c r="C5" s="37"/>
      <c r="D5" s="37"/>
      <c r="E5" s="37"/>
      <c r="F5" s="37"/>
      <c r="G5" s="37"/>
      <c r="H5" s="37"/>
      <c r="I5" s="78"/>
      <c r="J5" s="78"/>
      <c r="K5" s="16"/>
      <c r="N5" s="71"/>
      <c r="O5" s="88"/>
      <c r="P5" s="64"/>
    </row>
    <row r="6" spans="1:19" ht="12.75">
      <c r="A6" s="26" t="s">
        <v>25</v>
      </c>
      <c r="B6" s="36">
        <f aca="true" t="shared" si="1" ref="B6:I6">+SUM(B7:B11)</f>
        <v>1088.899</v>
      </c>
      <c r="C6" s="38">
        <f t="shared" si="1"/>
        <v>0</v>
      </c>
      <c r="D6" s="38">
        <f t="shared" si="1"/>
        <v>95</v>
      </c>
      <c r="E6" s="38">
        <f t="shared" si="1"/>
        <v>-5</v>
      </c>
      <c r="F6" s="38">
        <f t="shared" si="1"/>
        <v>-10</v>
      </c>
      <c r="G6" s="38">
        <f t="shared" si="1"/>
        <v>-191</v>
      </c>
      <c r="H6" s="38">
        <f t="shared" si="1"/>
        <v>-16</v>
      </c>
      <c r="I6" s="38">
        <f t="shared" si="1"/>
        <v>0</v>
      </c>
      <c r="J6" s="38">
        <f>+SUM(J7:J11)</f>
        <v>961.899</v>
      </c>
      <c r="K6" s="79">
        <f aca="true" t="shared" si="2" ref="K6:K11">+(J6-B6)/B6</f>
        <v>-0.11663157005378819</v>
      </c>
      <c r="N6" s="73" t="s">
        <v>226</v>
      </c>
      <c r="O6" s="87" t="s">
        <v>161</v>
      </c>
      <c r="P6" s="94">
        <v>1112862</v>
      </c>
      <c r="Q6" s="95">
        <f>P6-B6*1000</f>
        <v>23963</v>
      </c>
      <c r="S6" s="99">
        <v>2192117</v>
      </c>
    </row>
    <row r="7" spans="1:16" ht="12.75">
      <c r="A7" s="10" t="s">
        <v>26</v>
      </c>
      <c r="B7" s="39">
        <f>'[17]Appendix2 1213 Feeder'!D15</f>
        <v>60.425</v>
      </c>
      <c r="C7" s="40">
        <f>'[17]Appendix2 1213 Feeder'!E15</f>
        <v>0</v>
      </c>
      <c r="D7" s="40">
        <f>'[17]Appendix2 1213 Feeder'!F15</f>
        <v>0</v>
      </c>
      <c r="E7" s="40">
        <f>'[17]Appendix2 1213 Feeder'!G15</f>
        <v>0</v>
      </c>
      <c r="F7" s="40">
        <f>'[17]Appendix2 1213 Feeder'!H15</f>
        <v>0</v>
      </c>
      <c r="G7" s="40">
        <f>'[17]Appendix2 1213 Feeder'!I15</f>
        <v>0</v>
      </c>
      <c r="H7" s="40">
        <f>'[17]Appendix2 1213 Feeder'!J15</f>
        <v>-16</v>
      </c>
      <c r="I7" s="40">
        <v>0</v>
      </c>
      <c r="J7" s="40">
        <f>+B7+SUM(C7:I7)</f>
        <v>44.425</v>
      </c>
      <c r="K7" s="80">
        <f t="shared" si="2"/>
        <v>-0.26479106330161356</v>
      </c>
      <c r="O7" s="89"/>
      <c r="P7" s="65"/>
    </row>
    <row r="8" spans="1:16" ht="12.75">
      <c r="A8" s="10" t="s">
        <v>27</v>
      </c>
      <c r="B8" s="39">
        <f>'[17]Appendix2 1213 Feeder'!D16</f>
        <v>74.37</v>
      </c>
      <c r="C8" s="40">
        <f>'[17]Appendix2 1213 Feeder'!E16</f>
        <v>0</v>
      </c>
      <c r="D8" s="40">
        <f>'[17]Appendix2 1213 Feeder'!F16</f>
        <v>0</v>
      </c>
      <c r="E8" s="40">
        <f>'[17]Appendix2 1213 Feeder'!G16</f>
        <v>0</v>
      </c>
      <c r="F8" s="40">
        <f>'[17]Appendix2 1213 Feeder'!H16</f>
        <v>0</v>
      </c>
      <c r="G8" s="40">
        <f>'[17]Appendix2 1213 Feeder'!I16</f>
        <v>-46</v>
      </c>
      <c r="H8" s="40">
        <f>'[17]Appendix2 1213 Feeder'!J16</f>
        <v>0</v>
      </c>
      <c r="I8" s="40">
        <v>0</v>
      </c>
      <c r="J8" s="40">
        <f>+B8+SUM(C8:I8)</f>
        <v>28.370000000000005</v>
      </c>
      <c r="K8" s="80">
        <f t="shared" si="2"/>
        <v>-0.618528976737932</v>
      </c>
      <c r="N8" s="73"/>
      <c r="O8" s="89"/>
      <c r="P8" s="65"/>
    </row>
    <row r="9" spans="1:16" ht="12.75">
      <c r="A9" s="10" t="s">
        <v>110</v>
      </c>
      <c r="B9" s="39">
        <f>'[17]Appendix2 1213 Feeder'!D17</f>
        <v>392.503</v>
      </c>
      <c r="C9" s="40">
        <f>'[17]Appendix2 1213 Feeder'!E17</f>
        <v>0</v>
      </c>
      <c r="D9" s="40">
        <f>'[17]Appendix2 1213 Feeder'!F17</f>
        <v>0</v>
      </c>
      <c r="E9" s="40">
        <f>'[17]Appendix2 1213 Feeder'!G17</f>
        <v>0</v>
      </c>
      <c r="F9" s="40">
        <f>'[17]Appendix2 1213 Feeder'!H17</f>
        <v>0</v>
      </c>
      <c r="G9" s="40">
        <f>'[17]Appendix2 1213 Feeder'!I17</f>
        <v>0</v>
      </c>
      <c r="H9" s="40">
        <f>'[17]Appendix2 1213 Feeder'!J17</f>
        <v>0</v>
      </c>
      <c r="I9" s="40">
        <v>0</v>
      </c>
      <c r="J9" s="40">
        <f>+B9+SUM(C9:I9)</f>
        <v>392.503</v>
      </c>
      <c r="K9" s="80">
        <f t="shared" si="2"/>
        <v>0</v>
      </c>
      <c r="N9" s="73"/>
      <c r="O9" s="89"/>
      <c r="P9" s="65"/>
    </row>
    <row r="10" spans="1:16" ht="12.75">
      <c r="A10" s="10" t="s">
        <v>28</v>
      </c>
      <c r="B10" s="39">
        <f>'[17]Appendix2 1213 Feeder'!D18</f>
        <v>-39.279</v>
      </c>
      <c r="C10" s="40">
        <f>'[17]Appendix2 1213 Feeder'!E18</f>
        <v>0</v>
      </c>
      <c r="D10" s="40">
        <f>'[17]Appendix2 1213 Feeder'!F18</f>
        <v>0</v>
      </c>
      <c r="E10" s="40">
        <f>'[17]Appendix2 1213 Feeder'!G18</f>
        <v>0</v>
      </c>
      <c r="F10" s="40">
        <f>'[17]Appendix2 1213 Feeder'!H18</f>
        <v>0</v>
      </c>
      <c r="G10" s="40">
        <f>'[17]Appendix2 1213 Feeder'!I18</f>
        <v>-15</v>
      </c>
      <c r="H10" s="40">
        <f>'[17]Appendix2 1213 Feeder'!J18</f>
        <v>0</v>
      </c>
      <c r="I10" s="40">
        <v>0</v>
      </c>
      <c r="J10" s="40">
        <f>+B10+SUM(C10:I10)</f>
        <v>-54.279</v>
      </c>
      <c r="K10" s="80">
        <f t="shared" si="2"/>
        <v>0.3818834491713129</v>
      </c>
      <c r="N10" s="73"/>
      <c r="O10" s="89"/>
      <c r="P10" s="65"/>
    </row>
    <row r="11" spans="1:16" ht="12.75">
      <c r="A11" s="10" t="s">
        <v>82</v>
      </c>
      <c r="B11" s="39">
        <f>'[17]Appendix2 1213 Feeder'!D19</f>
        <v>600.88</v>
      </c>
      <c r="C11" s="40">
        <f>'[17]Appendix2 1213 Feeder'!E19</f>
        <v>0</v>
      </c>
      <c r="D11" s="40">
        <f>'[17]Appendix2 1213 Feeder'!F19</f>
        <v>95</v>
      </c>
      <c r="E11" s="40">
        <f>'[17]Appendix2 1213 Feeder'!G19</f>
        <v>-5</v>
      </c>
      <c r="F11" s="40">
        <f>'[17]Appendix2 1213 Feeder'!H19</f>
        <v>-10</v>
      </c>
      <c r="G11" s="40">
        <f>'[17]Appendix2 1213 Feeder'!I19</f>
        <v>-130</v>
      </c>
      <c r="H11" s="40">
        <f>'[17]Appendix2 1213 Feeder'!J19</f>
        <v>0</v>
      </c>
      <c r="I11" s="40">
        <v>0</v>
      </c>
      <c r="J11" s="40">
        <f>+B11+SUM(C11:I11)</f>
        <v>550.88</v>
      </c>
      <c r="K11" s="80">
        <f t="shared" si="2"/>
        <v>-0.08321129010784183</v>
      </c>
      <c r="N11" s="73"/>
      <c r="O11" s="89"/>
      <c r="P11" s="65"/>
    </row>
    <row r="12" spans="1:16" ht="12.75">
      <c r="A12" s="26"/>
      <c r="B12" s="36"/>
      <c r="C12" s="37"/>
      <c r="D12" s="37"/>
      <c r="E12" s="37"/>
      <c r="F12" s="37"/>
      <c r="G12" s="37"/>
      <c r="H12" s="37"/>
      <c r="I12" s="37"/>
      <c r="J12" s="37"/>
      <c r="K12" s="16"/>
      <c r="N12" s="71"/>
      <c r="O12" s="88"/>
      <c r="P12" s="64"/>
    </row>
    <row r="13" spans="1:19" ht="12.75">
      <c r="A13" s="28" t="s">
        <v>35</v>
      </c>
      <c r="B13" s="36">
        <f aca="true" t="shared" si="3" ref="B13:I13">+SUM(B14:B17)</f>
        <v>-3090.167</v>
      </c>
      <c r="C13" s="37">
        <f t="shared" si="3"/>
        <v>0</v>
      </c>
      <c r="D13" s="37">
        <f t="shared" si="3"/>
        <v>7</v>
      </c>
      <c r="E13" s="37">
        <f t="shared" si="3"/>
        <v>-420.1</v>
      </c>
      <c r="F13" s="37">
        <f t="shared" si="3"/>
        <v>0</v>
      </c>
      <c r="G13" s="37">
        <f t="shared" si="3"/>
        <v>-50</v>
      </c>
      <c r="H13" s="37">
        <f t="shared" si="3"/>
        <v>0</v>
      </c>
      <c r="I13" s="37">
        <f t="shared" si="3"/>
        <v>0</v>
      </c>
      <c r="J13" s="37">
        <f>+SUM(J14:J17)</f>
        <v>-3553.2669999999994</v>
      </c>
      <c r="K13" s="79">
        <f>+(J13-B13)/B13</f>
        <v>0.14986245079958443</v>
      </c>
      <c r="N13" s="73" t="s">
        <v>227</v>
      </c>
      <c r="O13" s="87" t="s">
        <v>163</v>
      </c>
      <c r="P13" s="94">
        <v>-3784444</v>
      </c>
      <c r="Q13" s="95">
        <f>P13-B13*1000</f>
        <v>-694277</v>
      </c>
      <c r="S13" s="99">
        <v>-4398865</v>
      </c>
    </row>
    <row r="14" spans="1:16" ht="12.75">
      <c r="A14" s="21" t="s">
        <v>85</v>
      </c>
      <c r="B14" s="41">
        <f>'[15]Appendix2 1213 Feeder'!D15-30</f>
        <v>-6286.623</v>
      </c>
      <c r="C14" s="42">
        <f>'[15]Appendix2 1213 Feeder'!E15</f>
        <v>0</v>
      </c>
      <c r="D14" s="42">
        <f>'[15]Appendix2 1213 Feeder'!F15</f>
        <v>7</v>
      </c>
      <c r="E14" s="42">
        <f>'[15]Appendix2 1213 Feeder'!G15</f>
        <v>-28</v>
      </c>
      <c r="F14" s="42">
        <f>'[15]Appendix2 1213 Feeder'!H15</f>
        <v>0</v>
      </c>
      <c r="G14" s="42">
        <f>'[15]Appendix2 1213 Feeder'!I15</f>
        <v>-50</v>
      </c>
      <c r="H14" s="42">
        <f>'[15]Appendix2 1213 Feeder'!J15</f>
        <v>0</v>
      </c>
      <c r="I14" s="42">
        <v>0</v>
      </c>
      <c r="J14" s="40">
        <f>+B14+SUM(C14:I14)</f>
        <v>-6357.623</v>
      </c>
      <c r="K14" s="80">
        <f>+(J14-B14)/B14</f>
        <v>0.011293821818168515</v>
      </c>
      <c r="O14" s="89"/>
      <c r="P14" s="65"/>
    </row>
    <row r="15" spans="1:16" ht="12.75">
      <c r="A15" s="21" t="s">
        <v>86</v>
      </c>
      <c r="B15" s="41">
        <f>'[15]Appendix2 1213 Feeder'!D16</f>
        <v>1118.552</v>
      </c>
      <c r="C15" s="42">
        <f>'[15]Appendix2 1213 Feeder'!E16</f>
        <v>0</v>
      </c>
      <c r="D15" s="42">
        <f>'[15]Appendix2 1213 Feeder'!F16</f>
        <v>0</v>
      </c>
      <c r="E15" s="42">
        <f>'[15]Appendix2 1213 Feeder'!G16</f>
        <v>-242.1</v>
      </c>
      <c r="F15" s="42">
        <f>'[15]Appendix2 1213 Feeder'!H16</f>
        <v>0</v>
      </c>
      <c r="G15" s="42">
        <f>'[15]Appendix2 1213 Feeder'!I16</f>
        <v>0</v>
      </c>
      <c r="H15" s="42">
        <f>'[15]Appendix2 1213 Feeder'!J16</f>
        <v>0</v>
      </c>
      <c r="I15" s="42">
        <v>0</v>
      </c>
      <c r="J15" s="40">
        <f>+B15+SUM(C15:I15)</f>
        <v>876.4519999999999</v>
      </c>
      <c r="K15" s="80">
        <f>+(J15-B15)/B15</f>
        <v>-0.21644054098513082</v>
      </c>
      <c r="N15" s="73"/>
      <c r="O15" s="89"/>
      <c r="P15" s="65"/>
    </row>
    <row r="16" spans="1:16" ht="12.75">
      <c r="A16" s="21" t="s">
        <v>87</v>
      </c>
      <c r="B16" s="41">
        <f>'[15]Appendix2 1213 Feeder'!D17</f>
        <v>180.982</v>
      </c>
      <c r="C16" s="42">
        <f>'[15]Appendix2 1213 Feeder'!E17</f>
        <v>0</v>
      </c>
      <c r="D16" s="42">
        <f>'[15]Appendix2 1213 Feeder'!F17</f>
        <v>0</v>
      </c>
      <c r="E16" s="42">
        <f>'[15]Appendix2 1213 Feeder'!G17</f>
        <v>-5</v>
      </c>
      <c r="F16" s="42">
        <f>'[15]Appendix2 1213 Feeder'!H17</f>
        <v>0</v>
      </c>
      <c r="G16" s="42">
        <f>'[15]Appendix2 1213 Feeder'!I17</f>
        <v>0</v>
      </c>
      <c r="H16" s="42">
        <f>'[15]Appendix2 1213 Feeder'!J17</f>
        <v>0</v>
      </c>
      <c r="I16" s="42">
        <v>0</v>
      </c>
      <c r="J16" s="40">
        <f>+B16+SUM(C16:I16)</f>
        <v>175.982</v>
      </c>
      <c r="K16" s="80">
        <f>+(J16-B16)/B16</f>
        <v>-0.02762705683438132</v>
      </c>
      <c r="N16" s="73"/>
      <c r="O16" s="89"/>
      <c r="P16" s="65"/>
    </row>
    <row r="17" spans="1:16" ht="12.75">
      <c r="A17" s="21" t="s">
        <v>110</v>
      </c>
      <c r="B17" s="41">
        <f>'[15]Appendix2 1213 Feeder'!D18</f>
        <v>1896.922</v>
      </c>
      <c r="C17" s="42">
        <f>'[15]Appendix2 1213 Feeder'!E18</f>
        <v>0</v>
      </c>
      <c r="D17" s="42">
        <f>'[15]Appendix2 1213 Feeder'!F18</f>
        <v>0</v>
      </c>
      <c r="E17" s="42">
        <f>'[15]Appendix2 1213 Feeder'!G18</f>
        <v>-145</v>
      </c>
      <c r="F17" s="42">
        <f>'[15]Appendix2 1213 Feeder'!H18</f>
        <v>0</v>
      </c>
      <c r="G17" s="42">
        <f>'[15]Appendix2 1213 Feeder'!I18</f>
        <v>0</v>
      </c>
      <c r="H17" s="42">
        <f>'[15]Appendix2 1213 Feeder'!J18</f>
        <v>0</v>
      </c>
      <c r="I17" s="42">
        <v>0</v>
      </c>
      <c r="J17" s="40">
        <f>+B17+SUM(C17:I17)</f>
        <v>1751.922</v>
      </c>
      <c r="K17" s="80">
        <f>+(J17-B17)/B17</f>
        <v>-0.07643962166077467</v>
      </c>
      <c r="N17" s="73"/>
      <c r="O17" s="89"/>
      <c r="P17" s="65"/>
    </row>
    <row r="18" spans="1:16" ht="12.75">
      <c r="A18" s="27"/>
      <c r="B18" s="36"/>
      <c r="C18" s="37"/>
      <c r="D18" s="37"/>
      <c r="E18" s="37"/>
      <c r="F18" s="37"/>
      <c r="G18" s="37"/>
      <c r="H18" s="37"/>
      <c r="I18" s="37"/>
      <c r="J18" s="37"/>
      <c r="K18" s="16"/>
      <c r="N18" s="71"/>
      <c r="O18" s="88"/>
      <c r="P18" s="64"/>
    </row>
    <row r="19" spans="1:19" ht="12.75">
      <c r="A19" s="28" t="s">
        <v>191</v>
      </c>
      <c r="B19" s="36">
        <f aca="true" t="shared" si="4" ref="B19:I19">+SUM(B20:B25)</f>
        <v>7064.183000000001</v>
      </c>
      <c r="C19" s="37">
        <f t="shared" si="4"/>
        <v>0</v>
      </c>
      <c r="D19" s="37">
        <f t="shared" si="4"/>
        <v>15</v>
      </c>
      <c r="E19" s="37">
        <f t="shared" si="4"/>
        <v>-192</v>
      </c>
      <c r="F19" s="37">
        <f t="shared" si="4"/>
        <v>0</v>
      </c>
      <c r="G19" s="37">
        <f t="shared" si="4"/>
        <v>0</v>
      </c>
      <c r="H19" s="37">
        <f t="shared" si="4"/>
        <v>-16</v>
      </c>
      <c r="I19" s="37">
        <f t="shared" si="4"/>
        <v>349</v>
      </c>
      <c r="J19" s="37">
        <f>+SUM(J20:J25)</f>
        <v>7220.183000000001</v>
      </c>
      <c r="K19" s="79">
        <f aca="true" t="shared" si="5" ref="K19:K25">+(J19-B19)/B19</f>
        <v>0.022083233121225763</v>
      </c>
      <c r="N19" s="73" t="s">
        <v>228</v>
      </c>
      <c r="O19" s="87" t="s">
        <v>164</v>
      </c>
      <c r="P19" s="94">
        <v>7031684</v>
      </c>
      <c r="Q19" s="95">
        <f>P19-B19*1000</f>
        <v>-32499.00000000093</v>
      </c>
      <c r="S19" s="99">
        <v>7375529</v>
      </c>
    </row>
    <row r="20" spans="1:16" ht="12.75">
      <c r="A20" s="11" t="s">
        <v>40</v>
      </c>
      <c r="B20" s="41">
        <f>'[16]Appendix2 1213 Feeder'!$D15</f>
        <v>71.947</v>
      </c>
      <c r="C20" s="42">
        <f>'[16]Appendix2 1213 Feeder'!E15</f>
        <v>0</v>
      </c>
      <c r="D20" s="42">
        <f>'[16]Appendix2 1213 Feeder'!F15</f>
        <v>0</v>
      </c>
      <c r="E20" s="42">
        <f>'[16]Appendix2 1213 Feeder'!G15</f>
        <v>0</v>
      </c>
      <c r="F20" s="42">
        <f>'[16]Appendix2 1213 Feeder'!H15</f>
        <v>0</v>
      </c>
      <c r="G20" s="42">
        <f>'[16]Appendix2 1213 Feeder'!I15</f>
        <v>0</v>
      </c>
      <c r="H20" s="42">
        <f>'[16]Appendix2 1213 Feeder'!J15</f>
        <v>0</v>
      </c>
      <c r="I20" s="42">
        <v>0</v>
      </c>
      <c r="J20" s="40">
        <f aca="true" t="shared" si="6" ref="J20:J25">+B20+SUM(C20:I20)</f>
        <v>71.947</v>
      </c>
      <c r="K20" s="80">
        <f t="shared" si="5"/>
        <v>0</v>
      </c>
      <c r="O20" s="89"/>
      <c r="P20" s="65"/>
    </row>
    <row r="21" spans="1:16" ht="12.75">
      <c r="A21" s="11" t="s">
        <v>142</v>
      </c>
      <c r="B21" s="41">
        <f>'[16]Appendix2 1213 Feeder'!$D16</f>
        <v>1010.965</v>
      </c>
      <c r="C21" s="42">
        <f>'[16]Appendix2 1213 Feeder'!E16</f>
        <v>0</v>
      </c>
      <c r="D21" s="42">
        <f>'[16]Appendix2 1213 Feeder'!F16</f>
        <v>0</v>
      </c>
      <c r="E21" s="42">
        <f>'[16]Appendix2 1213 Feeder'!G16</f>
        <v>-20</v>
      </c>
      <c r="F21" s="42">
        <f>'[16]Appendix2 1213 Feeder'!H16</f>
        <v>0</v>
      </c>
      <c r="G21" s="42">
        <f>'[16]Appendix2 1213 Feeder'!I16</f>
        <v>0</v>
      </c>
      <c r="H21" s="42">
        <f>'[16]Appendix2 1213 Feeder'!J16</f>
        <v>0</v>
      </c>
      <c r="I21" s="42">
        <v>240</v>
      </c>
      <c r="J21" s="40">
        <f t="shared" si="6"/>
        <v>1230.9650000000001</v>
      </c>
      <c r="K21" s="80">
        <f t="shared" si="5"/>
        <v>0.21761386398144358</v>
      </c>
      <c r="N21" s="73"/>
      <c r="O21" s="89"/>
      <c r="P21" s="65"/>
    </row>
    <row r="22" spans="1:16" ht="12.75">
      <c r="A22" s="11" t="s">
        <v>143</v>
      </c>
      <c r="B22" s="41">
        <f>'[16]Appendix2 1213 Feeder'!$D17</f>
        <v>1403.759</v>
      </c>
      <c r="C22" s="42">
        <f>'[16]Appendix2 1213 Feeder'!E17</f>
        <v>0</v>
      </c>
      <c r="D22" s="42">
        <f>'[16]Appendix2 1213 Feeder'!F17</f>
        <v>15</v>
      </c>
      <c r="E22" s="42">
        <f>'[16]Appendix2 1213 Feeder'!G17</f>
        <v>0</v>
      </c>
      <c r="F22" s="42">
        <f>'[16]Appendix2 1213 Feeder'!H17</f>
        <v>0</v>
      </c>
      <c r="G22" s="42">
        <f>'[16]Appendix2 1213 Feeder'!I17</f>
        <v>0</v>
      </c>
      <c r="H22" s="42">
        <f>'[16]Appendix2 1213 Feeder'!J17</f>
        <v>0</v>
      </c>
      <c r="I22" s="42">
        <v>70</v>
      </c>
      <c r="J22" s="40">
        <f t="shared" si="6"/>
        <v>1488.759</v>
      </c>
      <c r="K22" s="80">
        <f t="shared" si="5"/>
        <v>0.060551704388003925</v>
      </c>
      <c r="N22" s="73"/>
      <c r="O22" s="89"/>
      <c r="P22" s="65"/>
    </row>
    <row r="23" spans="1:16" ht="12.75">
      <c r="A23" s="11" t="s">
        <v>144</v>
      </c>
      <c r="B23" s="41">
        <f>'[16]Appendix2 1213 Feeder'!$D18</f>
        <v>577.365</v>
      </c>
      <c r="C23" s="42">
        <f>'[16]Appendix2 1213 Feeder'!E18</f>
        <v>0</v>
      </c>
      <c r="D23" s="42">
        <f>'[16]Appendix2 1213 Feeder'!F18</f>
        <v>0</v>
      </c>
      <c r="E23" s="42">
        <f>'[16]Appendix2 1213 Feeder'!G18</f>
        <v>-51</v>
      </c>
      <c r="F23" s="42">
        <f>'[16]Appendix2 1213 Feeder'!H18</f>
        <v>0</v>
      </c>
      <c r="G23" s="42">
        <f>'[16]Appendix2 1213 Feeder'!I18</f>
        <v>0</v>
      </c>
      <c r="H23" s="42">
        <f>'[16]Appendix2 1213 Feeder'!J18</f>
        <v>0</v>
      </c>
      <c r="I23" s="42">
        <v>0</v>
      </c>
      <c r="J23" s="40">
        <f t="shared" si="6"/>
        <v>526.365</v>
      </c>
      <c r="K23" s="80">
        <f t="shared" si="5"/>
        <v>-0.08833233742952898</v>
      </c>
      <c r="N23" s="73"/>
      <c r="O23" s="89"/>
      <c r="P23" s="65"/>
    </row>
    <row r="24" spans="1:16" ht="12.75">
      <c r="A24" s="11" t="s">
        <v>146</v>
      </c>
      <c r="B24" s="41">
        <f>'[16]Appendix2 1213 Feeder'!$D19</f>
        <v>1176.251</v>
      </c>
      <c r="C24" s="42">
        <f>'[16]Appendix2 1213 Feeder'!E19</f>
        <v>0</v>
      </c>
      <c r="D24" s="42">
        <f>'[16]Appendix2 1213 Feeder'!F19</f>
        <v>0</v>
      </c>
      <c r="E24" s="42">
        <f>'[16]Appendix2 1213 Feeder'!G19</f>
        <v>-80</v>
      </c>
      <c r="F24" s="42">
        <f>'[16]Appendix2 1213 Feeder'!H19</f>
        <v>0</v>
      </c>
      <c r="G24" s="42">
        <f>'[16]Appendix2 1213 Feeder'!I19</f>
        <v>0</v>
      </c>
      <c r="H24" s="42">
        <f>'[16]Appendix2 1213 Feeder'!J19</f>
        <v>-16</v>
      </c>
      <c r="I24" s="42">
        <v>0</v>
      </c>
      <c r="J24" s="40">
        <f t="shared" si="6"/>
        <v>1080.251</v>
      </c>
      <c r="K24" s="80">
        <f t="shared" si="5"/>
        <v>-0.08161523348332966</v>
      </c>
      <c r="M24" s="12" t="s">
        <v>130</v>
      </c>
      <c r="N24" s="73"/>
      <c r="O24" s="89"/>
      <c r="P24" s="65"/>
    </row>
    <row r="25" spans="1:16" ht="12.75">
      <c r="A25" s="11" t="s">
        <v>145</v>
      </c>
      <c r="B25" s="41">
        <f>'[16]Appendix2 1213 Feeder'!$D20-20</f>
        <v>2823.896</v>
      </c>
      <c r="C25" s="42">
        <f>'[16]Appendix2 1213 Feeder'!E20</f>
        <v>0</v>
      </c>
      <c r="D25" s="42">
        <f>'[16]Appendix2 1213 Feeder'!F20</f>
        <v>0</v>
      </c>
      <c r="E25" s="42">
        <f>'[16]Appendix2 1213 Feeder'!G20</f>
        <v>-41</v>
      </c>
      <c r="F25" s="42">
        <f>'[16]Appendix2 1213 Feeder'!H20</f>
        <v>0</v>
      </c>
      <c r="G25" s="42">
        <f>'[16]Appendix2 1213 Feeder'!I20</f>
        <v>0</v>
      </c>
      <c r="H25" s="42">
        <f>'[16]Appendix2 1213 Feeder'!J20</f>
        <v>0</v>
      </c>
      <c r="I25" s="42">
        <v>39</v>
      </c>
      <c r="J25" s="40">
        <f t="shared" si="6"/>
        <v>2821.896</v>
      </c>
      <c r="K25" s="80">
        <f t="shared" si="5"/>
        <v>-0.000708241379994164</v>
      </c>
      <c r="N25" s="73"/>
      <c r="O25" s="89"/>
      <c r="P25" s="65"/>
    </row>
    <row r="26" spans="1:16" ht="12.75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20"/>
      <c r="N26" s="71"/>
      <c r="O26" s="88"/>
      <c r="P26" s="64"/>
    </row>
    <row r="27" spans="1:16" ht="12.75">
      <c r="A27" s="25" t="s">
        <v>36</v>
      </c>
      <c r="B27" s="34">
        <f aca="true" t="shared" si="7" ref="B27:I27">+B29+B42+B37</f>
        <v>7661.531000000001</v>
      </c>
      <c r="C27" s="35">
        <f t="shared" si="7"/>
        <v>98.12181699999998</v>
      </c>
      <c r="D27" s="35">
        <f t="shared" si="7"/>
        <v>117.4</v>
      </c>
      <c r="E27" s="35">
        <f t="shared" si="7"/>
        <v>-355.453</v>
      </c>
      <c r="F27" s="35">
        <f t="shared" si="7"/>
        <v>-170</v>
      </c>
      <c r="G27" s="35">
        <f t="shared" si="7"/>
        <v>0</v>
      </c>
      <c r="H27" s="35">
        <f t="shared" si="7"/>
        <v>-72</v>
      </c>
      <c r="I27" s="35">
        <f t="shared" si="7"/>
        <v>0</v>
      </c>
      <c r="J27" s="35">
        <f>+J29+J42+J37</f>
        <v>7279.599816999999</v>
      </c>
      <c r="K27" s="79">
        <f>+(J27-B27)/B27</f>
        <v>-0.04985050416163577</v>
      </c>
      <c r="N27" s="70"/>
      <c r="O27" s="87"/>
      <c r="P27" s="63"/>
    </row>
    <row r="28" spans="1:16" ht="12.75">
      <c r="A28" s="26"/>
      <c r="B28" s="36"/>
      <c r="C28" s="37"/>
      <c r="D28" s="37"/>
      <c r="E28" s="37"/>
      <c r="F28" s="37"/>
      <c r="G28" s="37"/>
      <c r="H28" s="37"/>
      <c r="I28" s="37"/>
      <c r="J28" s="37"/>
      <c r="K28" s="16"/>
      <c r="N28" s="71"/>
      <c r="O28" s="88"/>
      <c r="P28" s="64"/>
    </row>
    <row r="29" spans="1:19" ht="12.75">
      <c r="A29" s="26" t="s">
        <v>7</v>
      </c>
      <c r="B29" s="36">
        <f>+SUM(B30:B35)</f>
        <v>2662.121</v>
      </c>
      <c r="C29" s="38">
        <f>+SUM(C30:C35)</f>
        <v>0</v>
      </c>
      <c r="D29" s="38">
        <f aca="true" t="shared" si="8" ref="D29:I29">+SUM(D30:D35)</f>
        <v>0</v>
      </c>
      <c r="E29" s="38">
        <f t="shared" si="8"/>
        <v>-225.2</v>
      </c>
      <c r="F29" s="38">
        <f t="shared" si="8"/>
        <v>-170</v>
      </c>
      <c r="G29" s="38">
        <f t="shared" si="8"/>
        <v>0</v>
      </c>
      <c r="H29" s="38">
        <f t="shared" si="8"/>
        <v>-72</v>
      </c>
      <c r="I29" s="38">
        <f t="shared" si="8"/>
        <v>0</v>
      </c>
      <c r="J29" s="38">
        <f>+SUM(J30:J35)</f>
        <v>2194.9210000000003</v>
      </c>
      <c r="K29" s="79">
        <f aca="true" t="shared" si="9" ref="K29:K35">+(J29-B29)/B29</f>
        <v>-0.1754991602560514</v>
      </c>
      <c r="N29" s="73" t="s">
        <v>229</v>
      </c>
      <c r="O29" s="87" t="s">
        <v>165</v>
      </c>
      <c r="P29" s="94">
        <v>2677371</v>
      </c>
      <c r="Q29" s="95">
        <f>P29-B29*1000</f>
        <v>15250</v>
      </c>
      <c r="S29" s="99">
        <v>419432</v>
      </c>
    </row>
    <row r="30" spans="1:16" ht="12.75">
      <c r="A30" s="10" t="s">
        <v>9</v>
      </c>
      <c r="B30" s="41">
        <f>'[23]Appendix2 1213 Feeder'!$D15</f>
        <v>1490.228</v>
      </c>
      <c r="C30" s="42">
        <f>+'[23]Appendix2 1213 Feeder'!E15</f>
        <v>0</v>
      </c>
      <c r="D30" s="42">
        <f>+'[23]Appendix2 1213 Feeder'!F15</f>
        <v>0</v>
      </c>
      <c r="E30" s="42">
        <f>+'[23]Appendix2 1213 Feeder'!G15</f>
        <v>-107</v>
      </c>
      <c r="F30" s="42">
        <f>+'[23]Appendix2 1213 Feeder'!H15</f>
        <v>-100</v>
      </c>
      <c r="G30" s="42">
        <f>+'[23]Appendix2 1213 Feeder'!I15</f>
        <v>0</v>
      </c>
      <c r="H30" s="42">
        <f>+'[23]Appendix2 1213 Feeder'!J15</f>
        <v>0</v>
      </c>
      <c r="I30" s="42">
        <v>0</v>
      </c>
      <c r="J30" s="40">
        <f aca="true" t="shared" si="10" ref="J30:J35">+B30+SUM(C30:I30)</f>
        <v>1283.228</v>
      </c>
      <c r="K30" s="80">
        <f t="shared" si="9"/>
        <v>-0.13890491924725612</v>
      </c>
      <c r="O30" s="90"/>
      <c r="P30" s="66"/>
    </row>
    <row r="31" spans="1:16" ht="12.75">
      <c r="A31" s="10" t="s">
        <v>11</v>
      </c>
      <c r="B31" s="41">
        <f>'[23]Appendix2 1213 Feeder'!$D16</f>
        <v>149.801</v>
      </c>
      <c r="C31" s="42">
        <f>+'[23]Appendix2 1213 Feeder'!E16</f>
        <v>0</v>
      </c>
      <c r="D31" s="42">
        <f>+'[23]Appendix2 1213 Feeder'!F16</f>
        <v>0</v>
      </c>
      <c r="E31" s="42">
        <f>+'[23]Appendix2 1213 Feeder'!G16</f>
        <v>0</v>
      </c>
      <c r="F31" s="42">
        <f>+'[23]Appendix2 1213 Feeder'!H16</f>
        <v>0</v>
      </c>
      <c r="G31" s="42">
        <f>+'[23]Appendix2 1213 Feeder'!I16</f>
        <v>0</v>
      </c>
      <c r="H31" s="42">
        <f>+'[23]Appendix2 1213 Feeder'!J16</f>
        <v>-72</v>
      </c>
      <c r="I31" s="42">
        <v>0</v>
      </c>
      <c r="J31" s="40">
        <f t="shared" si="10"/>
        <v>77.80099999999999</v>
      </c>
      <c r="K31" s="80">
        <f t="shared" si="9"/>
        <v>-0.4806376459436186</v>
      </c>
      <c r="N31" s="73"/>
      <c r="O31" s="90"/>
      <c r="P31" s="66"/>
    </row>
    <row r="32" spans="1:16" ht="12.75">
      <c r="A32" s="10" t="s">
        <v>12</v>
      </c>
      <c r="B32" s="41">
        <f>'[23]Appendix2 1213 Feeder'!$D17</f>
        <v>66.025</v>
      </c>
      <c r="C32" s="42">
        <f>+'[23]Appendix2 1213 Feeder'!E17</f>
        <v>0</v>
      </c>
      <c r="D32" s="42">
        <f>+'[23]Appendix2 1213 Feeder'!F17</f>
        <v>0</v>
      </c>
      <c r="E32" s="42">
        <f>+'[23]Appendix2 1213 Feeder'!G17</f>
        <v>0</v>
      </c>
      <c r="F32" s="42">
        <f>+'[23]Appendix2 1213 Feeder'!H17</f>
        <v>0</v>
      </c>
      <c r="G32" s="42">
        <f>+'[23]Appendix2 1213 Feeder'!I17</f>
        <v>0</v>
      </c>
      <c r="H32" s="42">
        <f>+'[23]Appendix2 1213 Feeder'!J17</f>
        <v>0</v>
      </c>
      <c r="I32" s="42">
        <v>0</v>
      </c>
      <c r="J32" s="40">
        <f t="shared" si="10"/>
        <v>66.025</v>
      </c>
      <c r="K32" s="80">
        <f t="shared" si="9"/>
        <v>0</v>
      </c>
      <c r="N32" s="73"/>
      <c r="O32" s="90"/>
      <c r="P32" s="66"/>
    </row>
    <row r="33" spans="1:16" ht="12.75">
      <c r="A33" s="10" t="s">
        <v>8</v>
      </c>
      <c r="B33" s="41">
        <f>'[23]Appendix2 1213 Feeder'!$D18</f>
        <v>411.589</v>
      </c>
      <c r="C33" s="42">
        <f>+'[23]Appendix2 1213 Feeder'!E18</f>
        <v>0</v>
      </c>
      <c r="D33" s="42">
        <f>+'[23]Appendix2 1213 Feeder'!F18</f>
        <v>0</v>
      </c>
      <c r="E33" s="42">
        <f>+'[23]Appendix2 1213 Feeder'!G18</f>
        <v>-18.2</v>
      </c>
      <c r="F33" s="42">
        <f>+'[23]Appendix2 1213 Feeder'!H18</f>
        <v>0</v>
      </c>
      <c r="G33" s="42">
        <f>+'[23]Appendix2 1213 Feeder'!I18</f>
        <v>0</v>
      </c>
      <c r="H33" s="42">
        <f>+'[23]Appendix2 1213 Feeder'!J18</f>
        <v>0</v>
      </c>
      <c r="I33" s="42">
        <v>0</v>
      </c>
      <c r="J33" s="40">
        <f t="shared" si="10"/>
        <v>393.389</v>
      </c>
      <c r="K33" s="80">
        <f t="shared" si="9"/>
        <v>-0.044218868823024886</v>
      </c>
      <c r="N33" s="73"/>
      <c r="O33" s="90"/>
      <c r="P33" s="66"/>
    </row>
    <row r="34" spans="1:16" ht="12.75">
      <c r="A34" s="10" t="s">
        <v>13</v>
      </c>
      <c r="B34" s="41">
        <f>'[23]Appendix2 1213 Feeder'!$D19</f>
        <v>165.683</v>
      </c>
      <c r="C34" s="42">
        <f>+'[23]Appendix2 1213 Feeder'!E19</f>
        <v>0</v>
      </c>
      <c r="D34" s="42">
        <f>+'[23]Appendix2 1213 Feeder'!F19</f>
        <v>0</v>
      </c>
      <c r="E34" s="42">
        <f>+'[23]Appendix2 1213 Feeder'!G19</f>
        <v>-100</v>
      </c>
      <c r="F34" s="42">
        <f>+'[23]Appendix2 1213 Feeder'!H19</f>
        <v>0</v>
      </c>
      <c r="G34" s="42">
        <f>+'[23]Appendix2 1213 Feeder'!I19</f>
        <v>0</v>
      </c>
      <c r="H34" s="42">
        <f>+'[23]Appendix2 1213 Feeder'!J19</f>
        <v>0</v>
      </c>
      <c r="I34" s="42">
        <v>0</v>
      </c>
      <c r="J34" s="40">
        <f t="shared" si="10"/>
        <v>65.68299999999999</v>
      </c>
      <c r="K34" s="80">
        <f t="shared" si="9"/>
        <v>-0.6035622242475088</v>
      </c>
      <c r="N34" s="73"/>
      <c r="O34" s="90"/>
      <c r="P34" s="66"/>
    </row>
    <row r="35" spans="1:16" ht="12.75">
      <c r="A35" s="10" t="s">
        <v>147</v>
      </c>
      <c r="B35" s="41">
        <f>'[23]Appendix2 1213 Feeder'!$D20</f>
        <v>378.795</v>
      </c>
      <c r="C35" s="42">
        <f>+'[23]Appendix2 1213 Feeder'!E20</f>
        <v>0</v>
      </c>
      <c r="D35" s="42">
        <f>+'[23]Appendix2 1213 Feeder'!F20</f>
        <v>0</v>
      </c>
      <c r="E35" s="42">
        <f>+'[23]Appendix2 1213 Feeder'!G20</f>
        <v>0</v>
      </c>
      <c r="F35" s="42">
        <f>+'[23]Appendix2 1213 Feeder'!H20</f>
        <v>-70</v>
      </c>
      <c r="G35" s="42">
        <f>+'[23]Appendix2 1213 Feeder'!I20</f>
        <v>0</v>
      </c>
      <c r="H35" s="42">
        <f>+'[23]Appendix2 1213 Feeder'!J20</f>
        <v>0</v>
      </c>
      <c r="I35" s="42">
        <v>0</v>
      </c>
      <c r="J35" s="40">
        <f t="shared" si="10"/>
        <v>308.795</v>
      </c>
      <c r="K35" s="80">
        <f t="shared" si="9"/>
        <v>-0.18479652582531447</v>
      </c>
      <c r="N35" s="73"/>
      <c r="O35" s="90"/>
      <c r="P35" s="66"/>
    </row>
    <row r="36" spans="1:16" ht="12.75">
      <c r="A36" s="10"/>
      <c r="B36" s="41"/>
      <c r="C36" s="42"/>
      <c r="D36" s="42"/>
      <c r="E36" s="42"/>
      <c r="F36" s="42"/>
      <c r="G36" s="42"/>
      <c r="H36" s="42"/>
      <c r="I36" s="42"/>
      <c r="J36" s="40"/>
      <c r="K36" s="80"/>
      <c r="N36" s="73"/>
      <c r="O36" s="90"/>
      <c r="P36" s="66"/>
    </row>
    <row r="37" spans="1:19" ht="12.75">
      <c r="A37" s="26" t="s">
        <v>152</v>
      </c>
      <c r="B37" s="36">
        <f aca="true" t="shared" si="11" ref="B37:I37">+SUM(B38:B40)</f>
        <v>2828.6</v>
      </c>
      <c r="C37" s="38">
        <f t="shared" si="11"/>
        <v>98.12181699999998</v>
      </c>
      <c r="D37" s="38">
        <f t="shared" si="11"/>
        <v>107.4</v>
      </c>
      <c r="E37" s="38">
        <f t="shared" si="11"/>
        <v>-34.253</v>
      </c>
      <c r="F37" s="38">
        <f t="shared" si="11"/>
        <v>0</v>
      </c>
      <c r="G37" s="38">
        <f t="shared" si="11"/>
        <v>0</v>
      </c>
      <c r="H37" s="38">
        <f t="shared" si="11"/>
        <v>0</v>
      </c>
      <c r="I37" s="38">
        <f t="shared" si="11"/>
        <v>0</v>
      </c>
      <c r="J37" s="38">
        <f>+SUM(J38:J40)</f>
        <v>2999.8688169999996</v>
      </c>
      <c r="K37" s="79">
        <f>+(J37-B37)/B37</f>
        <v>0.060548970161917445</v>
      </c>
      <c r="N37" s="73" t="s">
        <v>230</v>
      </c>
      <c r="O37" s="87" t="s">
        <v>166</v>
      </c>
      <c r="P37" s="94">
        <v>2855376</v>
      </c>
      <c r="Q37" s="95">
        <f>P37-B37*1000</f>
        <v>26776</v>
      </c>
      <c r="S37" s="99">
        <v>713682</v>
      </c>
    </row>
    <row r="38" spans="1:16" ht="12.75">
      <c r="A38" s="11" t="s">
        <v>57</v>
      </c>
      <c r="B38" s="41">
        <f>'[20]Appendix2 1213 Feeder'!C15</f>
        <v>116.384</v>
      </c>
      <c r="C38" s="42">
        <f>'[20]Appendix2 1213 Feeder'!D15</f>
        <v>0</v>
      </c>
      <c r="D38" s="42">
        <f>'[20]Appendix2 1213 Feeder'!E15</f>
        <v>17</v>
      </c>
      <c r="E38" s="42">
        <f>'[20]Appendix2 1213 Feeder'!F15</f>
        <v>-10.253</v>
      </c>
      <c r="F38" s="42">
        <f>'[20]Appendix2 1213 Feeder'!G15</f>
        <v>0</v>
      </c>
      <c r="G38" s="42">
        <f>'[20]Appendix2 1213 Feeder'!H15</f>
        <v>0</v>
      </c>
      <c r="H38" s="42">
        <f>'[20]Appendix2 1213 Feeder'!I15</f>
        <v>0</v>
      </c>
      <c r="I38" s="42">
        <v>0</v>
      </c>
      <c r="J38" s="40">
        <f>+B38+SUM(C38:I38)</f>
        <v>123.131</v>
      </c>
      <c r="K38" s="80">
        <f>+(J38-B38)/B38</f>
        <v>0.057971886169920266</v>
      </c>
      <c r="O38" s="90"/>
      <c r="P38" s="66"/>
    </row>
    <row r="39" spans="1:16" ht="12.75">
      <c r="A39" s="11" t="s">
        <v>58</v>
      </c>
      <c r="B39" s="41">
        <f>'[20]Appendix2 1213 Feeder'!C16-20</f>
        <v>2602.738</v>
      </c>
      <c r="C39" s="42">
        <f>'[20]Appendix2 1213 Feeder'!D16</f>
        <v>98.12181699999998</v>
      </c>
      <c r="D39" s="42">
        <f>'[20]Appendix2 1213 Feeder'!E16</f>
        <v>90.4</v>
      </c>
      <c r="E39" s="42">
        <f>'[20]Appendix2 1213 Feeder'!F16</f>
        <v>-19</v>
      </c>
      <c r="F39" s="42">
        <f>'[20]Appendix2 1213 Feeder'!G16</f>
        <v>0</v>
      </c>
      <c r="G39" s="42">
        <f>'[20]Appendix2 1213 Feeder'!H16</f>
        <v>0</v>
      </c>
      <c r="H39" s="42">
        <f>'[20]Appendix2 1213 Feeder'!I16</f>
        <v>0</v>
      </c>
      <c r="I39" s="42">
        <v>0</v>
      </c>
      <c r="J39" s="40">
        <f>+B39+SUM(C39:I39)</f>
        <v>2772.2598169999997</v>
      </c>
      <c r="K39" s="79">
        <f aca="true" t="shared" si="12" ref="K39:K47">+(J39-B39)/B39</f>
        <v>0.06513210972445165</v>
      </c>
      <c r="N39" s="72"/>
      <c r="O39" s="90"/>
      <c r="P39" s="66"/>
    </row>
    <row r="40" spans="1:16" ht="12.75">
      <c r="A40" s="11" t="s">
        <v>84</v>
      </c>
      <c r="B40" s="41">
        <f>'[20]Appendix2 1213 Feeder'!C17</f>
        <v>109.478</v>
      </c>
      <c r="C40" s="42">
        <f>'[20]Appendix2 1213 Feeder'!D17</f>
        <v>0</v>
      </c>
      <c r="D40" s="42">
        <f>'[20]Appendix2 1213 Feeder'!E17</f>
        <v>0</v>
      </c>
      <c r="E40" s="42">
        <f>'[20]Appendix2 1213 Feeder'!F17</f>
        <v>-5</v>
      </c>
      <c r="F40" s="42">
        <f>'[20]Appendix2 1213 Feeder'!G17</f>
        <v>0</v>
      </c>
      <c r="G40" s="42">
        <f>'[20]Appendix2 1213 Feeder'!H17</f>
        <v>0</v>
      </c>
      <c r="H40" s="42">
        <f>'[20]Appendix2 1213 Feeder'!I17</f>
        <v>0</v>
      </c>
      <c r="I40" s="42">
        <v>0</v>
      </c>
      <c r="J40" s="40">
        <f>+B40+SUM(C40:I40)</f>
        <v>104.478</v>
      </c>
      <c r="K40" s="79">
        <f t="shared" si="12"/>
        <v>-0.045671276420833413</v>
      </c>
      <c r="N40" s="72"/>
      <c r="O40" s="90"/>
      <c r="P40" s="66"/>
    </row>
    <row r="41" spans="1:16" ht="12.75">
      <c r="A41" s="11"/>
      <c r="B41" s="41"/>
      <c r="C41" s="42"/>
      <c r="D41" s="42"/>
      <c r="E41" s="42"/>
      <c r="F41" s="42"/>
      <c r="G41" s="42"/>
      <c r="H41" s="42"/>
      <c r="I41" s="42"/>
      <c r="J41" s="40"/>
      <c r="K41" s="79"/>
      <c r="N41" s="72"/>
      <c r="O41" s="90"/>
      <c r="P41" s="66"/>
    </row>
    <row r="42" spans="1:19" ht="12.75">
      <c r="A42" s="26" t="s">
        <v>148</v>
      </c>
      <c r="B42" s="36">
        <f>SUM(B43:B47)</f>
        <v>2170.81</v>
      </c>
      <c r="C42" s="37">
        <f aca="true" t="shared" si="13" ref="C42:I42">SUM(C43:C47)</f>
        <v>0</v>
      </c>
      <c r="D42" s="37">
        <f t="shared" si="13"/>
        <v>10</v>
      </c>
      <c r="E42" s="37">
        <f t="shared" si="13"/>
        <v>-96</v>
      </c>
      <c r="F42" s="37">
        <f t="shared" si="13"/>
        <v>0</v>
      </c>
      <c r="G42" s="37">
        <f t="shared" si="13"/>
        <v>0</v>
      </c>
      <c r="H42" s="37">
        <f t="shared" si="13"/>
        <v>0</v>
      </c>
      <c r="I42" s="37">
        <f t="shared" si="13"/>
        <v>0</v>
      </c>
      <c r="J42" s="37">
        <f>SUM(J43:J47)</f>
        <v>2084.81</v>
      </c>
      <c r="K42" s="79">
        <f>+(J42-B42)/B42</f>
        <v>-0.03961654866155951</v>
      </c>
      <c r="N42" s="82" t="s">
        <v>231</v>
      </c>
      <c r="O42" s="87" t="s">
        <v>167</v>
      </c>
      <c r="P42" s="94">
        <v>2143168</v>
      </c>
      <c r="Q42" s="95">
        <f>P42-B42*1000</f>
        <v>-27642</v>
      </c>
      <c r="S42" s="99">
        <v>1037598</v>
      </c>
    </row>
    <row r="43" spans="1:16" ht="12.75">
      <c r="A43" s="83" t="s">
        <v>149</v>
      </c>
      <c r="B43" s="41">
        <f>'[19]Appendix2 1213 Feeder'!C15</f>
        <v>228.583</v>
      </c>
      <c r="C43" s="42">
        <f>'[19]Appendix2 1213 Feeder'!D15</f>
        <v>0</v>
      </c>
      <c r="D43" s="42">
        <f>'[19]Appendix2 1213 Feeder'!E15</f>
        <v>10</v>
      </c>
      <c r="E43" s="42">
        <f>'[19]Appendix2 1213 Feeder'!F15</f>
        <v>-46</v>
      </c>
      <c r="F43" s="42">
        <f>'[19]Appendix2 1213 Feeder'!G15</f>
        <v>0</v>
      </c>
      <c r="G43" s="42">
        <f>'[19]Appendix2 1213 Feeder'!H15</f>
        <v>0</v>
      </c>
      <c r="H43" s="42">
        <f>'[19]Appendix2 1213 Feeder'!I15</f>
        <v>0</v>
      </c>
      <c r="I43" s="42">
        <v>0</v>
      </c>
      <c r="J43" s="40">
        <f>+B43+SUM(C43:I43)</f>
        <v>192.583</v>
      </c>
      <c r="K43" s="80">
        <f t="shared" si="12"/>
        <v>-0.15749202696613485</v>
      </c>
      <c r="N43" s="12"/>
      <c r="O43" s="89"/>
      <c r="P43" s="63"/>
    </row>
    <row r="44" spans="1:16" ht="12.75">
      <c r="A44" s="83" t="s">
        <v>150</v>
      </c>
      <c r="B44" s="41">
        <f>'[19]Appendix2 1213 Feeder'!C16</f>
        <v>-67.002</v>
      </c>
      <c r="C44" s="42">
        <f>'[19]Appendix2 1213 Feeder'!D16</f>
        <v>0</v>
      </c>
      <c r="D44" s="42">
        <f>'[19]Appendix2 1213 Feeder'!E16</f>
        <v>0</v>
      </c>
      <c r="E44" s="42">
        <f>'[19]Appendix2 1213 Feeder'!F16</f>
        <v>0</v>
      </c>
      <c r="F44" s="42">
        <f>'[19]Appendix2 1213 Feeder'!G16</f>
        <v>0</v>
      </c>
      <c r="G44" s="42">
        <f>'[19]Appendix2 1213 Feeder'!H16</f>
        <v>0</v>
      </c>
      <c r="H44" s="42">
        <f>'[19]Appendix2 1213 Feeder'!I16</f>
        <v>0</v>
      </c>
      <c r="I44" s="42">
        <v>0</v>
      </c>
      <c r="J44" s="40">
        <f>+B44+SUM(C44:I44)</f>
        <v>-67.002</v>
      </c>
      <c r="K44" s="80">
        <f t="shared" si="12"/>
        <v>0</v>
      </c>
      <c r="N44" s="82"/>
      <c r="O44" s="91"/>
      <c r="P44" s="66"/>
    </row>
    <row r="45" spans="1:16" ht="12.75">
      <c r="A45" s="83" t="s">
        <v>151</v>
      </c>
      <c r="B45" s="41">
        <f>'[19]Appendix2 1213 Feeder'!C17</f>
        <v>1695.609</v>
      </c>
      <c r="C45" s="42">
        <f>'[19]Appendix2 1213 Feeder'!D17</f>
        <v>0</v>
      </c>
      <c r="D45" s="42">
        <f>'[19]Appendix2 1213 Feeder'!E17</f>
        <v>0</v>
      </c>
      <c r="E45" s="42">
        <f>'[19]Appendix2 1213 Feeder'!F17</f>
        <v>-50</v>
      </c>
      <c r="F45" s="42">
        <f>'[19]Appendix2 1213 Feeder'!G17</f>
        <v>0</v>
      </c>
      <c r="G45" s="42">
        <f>'[19]Appendix2 1213 Feeder'!H17</f>
        <v>0</v>
      </c>
      <c r="H45" s="42">
        <f>'[19]Appendix2 1213 Feeder'!I17</f>
        <v>0</v>
      </c>
      <c r="I45" s="42">
        <v>0</v>
      </c>
      <c r="J45" s="40">
        <f>+B45+SUM(C45:I45)</f>
        <v>1645.609</v>
      </c>
      <c r="K45" s="80">
        <f t="shared" si="12"/>
        <v>-0.02948793029525085</v>
      </c>
      <c r="N45" s="82"/>
      <c r="O45" s="91"/>
      <c r="P45" s="66"/>
    </row>
    <row r="46" spans="1:16" ht="12.75">
      <c r="A46" s="83" t="s">
        <v>107</v>
      </c>
      <c r="B46" s="41">
        <f>'[19]Appendix2 1213 Feeder'!C18</f>
        <v>91.179</v>
      </c>
      <c r="C46" s="42">
        <f>'[19]Appendix2 1213 Feeder'!D18</f>
        <v>0</v>
      </c>
      <c r="D46" s="42">
        <f>'[19]Appendix2 1213 Feeder'!E18</f>
        <v>0</v>
      </c>
      <c r="E46" s="42">
        <f>'[19]Appendix2 1213 Feeder'!F18</f>
        <v>0</v>
      </c>
      <c r="F46" s="42">
        <f>'[19]Appendix2 1213 Feeder'!G18</f>
        <v>0</v>
      </c>
      <c r="G46" s="42">
        <f>'[19]Appendix2 1213 Feeder'!H18</f>
        <v>0</v>
      </c>
      <c r="H46" s="42">
        <f>'[19]Appendix2 1213 Feeder'!I18</f>
        <v>0</v>
      </c>
      <c r="I46" s="42">
        <v>0</v>
      </c>
      <c r="J46" s="40">
        <f>+B46+SUM(C46:I46)</f>
        <v>91.179</v>
      </c>
      <c r="K46" s="80">
        <f t="shared" si="12"/>
        <v>0</v>
      </c>
      <c r="N46" s="82"/>
      <c r="O46" s="91"/>
      <c r="P46" s="66"/>
    </row>
    <row r="47" spans="1:16" ht="12.75">
      <c r="A47" s="83" t="s">
        <v>148</v>
      </c>
      <c r="B47" s="41">
        <f>'[19]Appendix2 1213 Feeder'!C19</f>
        <v>222.441</v>
      </c>
      <c r="C47" s="42">
        <f>'[19]Appendix2 1213 Feeder'!D19</f>
        <v>0</v>
      </c>
      <c r="D47" s="42">
        <f>'[19]Appendix2 1213 Feeder'!E19</f>
        <v>0</v>
      </c>
      <c r="E47" s="42">
        <f>'[19]Appendix2 1213 Feeder'!F19</f>
        <v>0</v>
      </c>
      <c r="F47" s="42">
        <f>'[19]Appendix2 1213 Feeder'!G19</f>
        <v>0</v>
      </c>
      <c r="G47" s="42">
        <f>'[19]Appendix2 1213 Feeder'!H19</f>
        <v>0</v>
      </c>
      <c r="H47" s="42">
        <f>'[19]Appendix2 1213 Feeder'!I19</f>
        <v>0</v>
      </c>
      <c r="I47" s="42">
        <v>0</v>
      </c>
      <c r="J47" s="40">
        <f>+B47+SUM(C47:I47)</f>
        <v>222.441</v>
      </c>
      <c r="K47" s="80">
        <f t="shared" si="12"/>
        <v>0</v>
      </c>
      <c r="N47" s="82"/>
      <c r="O47" s="88"/>
      <c r="P47" s="64"/>
    </row>
    <row r="48" spans="1:16" ht="12.75">
      <c r="A48" s="83"/>
      <c r="B48" s="39"/>
      <c r="C48" s="40"/>
      <c r="D48" s="40"/>
      <c r="E48" s="40"/>
      <c r="F48" s="40"/>
      <c r="G48" s="40"/>
      <c r="H48" s="40"/>
      <c r="I48" s="40"/>
      <c r="J48" s="40"/>
      <c r="K48" s="16"/>
      <c r="N48" s="71"/>
      <c r="O48" s="88"/>
      <c r="P48" s="64"/>
    </row>
    <row r="49" spans="1:16" ht="12.75">
      <c r="A49" s="31" t="s">
        <v>29</v>
      </c>
      <c r="B49" s="36">
        <f aca="true" t="shared" si="14" ref="B49:I49">+B51+B58+B70+B76</f>
        <v>7930.019999999999</v>
      </c>
      <c r="C49" s="37">
        <f t="shared" si="14"/>
        <v>150</v>
      </c>
      <c r="D49" s="37">
        <f t="shared" si="14"/>
        <v>296</v>
      </c>
      <c r="E49" s="37">
        <f t="shared" si="14"/>
        <v>-688.5717000000002</v>
      </c>
      <c r="F49" s="37">
        <f t="shared" si="14"/>
        <v>-163</v>
      </c>
      <c r="G49" s="37">
        <f t="shared" si="14"/>
        <v>-905</v>
      </c>
      <c r="H49" s="37">
        <f t="shared" si="14"/>
        <v>-133</v>
      </c>
      <c r="I49" s="37">
        <f t="shared" si="14"/>
        <v>354</v>
      </c>
      <c r="J49" s="37">
        <f>+J51+J58+J70+J76</f>
        <v>6840.448299999998</v>
      </c>
      <c r="K49" s="79">
        <f>+(J49-B49)/B49</f>
        <v>-0.13739835460692415</v>
      </c>
      <c r="L49" s="12">
        <f>+L51+L58+L70+L76</f>
        <v>0</v>
      </c>
      <c r="N49" s="70"/>
      <c r="O49" s="87"/>
      <c r="P49" s="63"/>
    </row>
    <row r="50" spans="1:16" ht="12.75">
      <c r="A50" s="27"/>
      <c r="B50" s="47"/>
      <c r="C50" s="48"/>
      <c r="D50" s="48"/>
      <c r="E50" s="48"/>
      <c r="F50" s="48"/>
      <c r="G50" s="48"/>
      <c r="H50" s="48"/>
      <c r="I50" s="48"/>
      <c r="J50" s="48"/>
      <c r="K50" s="16"/>
      <c r="N50" s="71"/>
      <c r="O50" s="88"/>
      <c r="P50" s="64"/>
    </row>
    <row r="51" spans="1:19" ht="12.75">
      <c r="A51" s="26" t="s">
        <v>30</v>
      </c>
      <c r="B51" s="36">
        <f aca="true" t="shared" si="15" ref="B51:I51">+SUM(B52:B56)</f>
        <v>1722.9799999999998</v>
      </c>
      <c r="C51" s="38">
        <f t="shared" si="15"/>
        <v>0</v>
      </c>
      <c r="D51" s="38">
        <f t="shared" si="15"/>
        <v>50</v>
      </c>
      <c r="E51" s="38">
        <f t="shared" si="15"/>
        <v>-12</v>
      </c>
      <c r="F51" s="38">
        <f t="shared" si="15"/>
        <v>-204</v>
      </c>
      <c r="G51" s="38">
        <f t="shared" si="15"/>
        <v>-10</v>
      </c>
      <c r="H51" s="38">
        <f t="shared" si="15"/>
        <v>-98</v>
      </c>
      <c r="I51" s="38">
        <f t="shared" si="15"/>
        <v>198</v>
      </c>
      <c r="J51" s="38">
        <f>+SUM(J52:J56)</f>
        <v>1646.9799999999998</v>
      </c>
      <c r="K51" s="79">
        <f aca="true" t="shared" si="16" ref="K51:K56">+(J51-B51)/B51</f>
        <v>-0.044109624023494186</v>
      </c>
      <c r="N51" s="73" t="s">
        <v>232</v>
      </c>
      <c r="O51" s="87" t="s">
        <v>168</v>
      </c>
      <c r="P51" s="94">
        <v>1729497</v>
      </c>
      <c r="Q51" s="95">
        <f>P51-B51*1000</f>
        <v>6517.000000000233</v>
      </c>
      <c r="S51" s="99">
        <v>2432959</v>
      </c>
    </row>
    <row r="52" spans="1:16" ht="12.75">
      <c r="A52" s="10" t="s">
        <v>31</v>
      </c>
      <c r="B52" s="41">
        <f>'[18]Appendix2 1213 Feeder'!D15</f>
        <v>635.76</v>
      </c>
      <c r="C52" s="42">
        <f>'[18]Appendix2 1213 Feeder'!E15</f>
        <v>0</v>
      </c>
      <c r="D52" s="42">
        <f>'[18]Appendix2 1213 Feeder'!F15</f>
        <v>0</v>
      </c>
      <c r="E52" s="42">
        <f>'[18]Appendix2 1213 Feeder'!G15</f>
        <v>0</v>
      </c>
      <c r="F52" s="42">
        <f>'[18]Appendix2 1213 Feeder'!H15</f>
        <v>0</v>
      </c>
      <c r="G52" s="42">
        <f>'[18]Appendix2 1213 Feeder'!I15</f>
        <v>-10</v>
      </c>
      <c r="H52" s="42">
        <f>'[18]Appendix2 1213 Feeder'!J15</f>
        <v>-66</v>
      </c>
      <c r="I52" s="42">
        <v>94</v>
      </c>
      <c r="J52" s="40">
        <f>+B52+SUM(C52:I52)</f>
        <v>653.76</v>
      </c>
      <c r="K52" s="80">
        <f t="shared" si="16"/>
        <v>0.028312570781426953</v>
      </c>
      <c r="N52" s="12"/>
      <c r="O52" s="89"/>
      <c r="P52" s="66"/>
    </row>
    <row r="53" spans="1:16" ht="12.75">
      <c r="A53" s="10" t="s">
        <v>32</v>
      </c>
      <c r="B53" s="41">
        <f>'[18]Appendix2 1213 Feeder'!D16</f>
        <v>460.772</v>
      </c>
      <c r="C53" s="42">
        <f>'[18]Appendix2 1213 Feeder'!E16</f>
        <v>0</v>
      </c>
      <c r="D53" s="42">
        <f>'[18]Appendix2 1213 Feeder'!F16</f>
        <v>50</v>
      </c>
      <c r="E53" s="42">
        <f>'[18]Appendix2 1213 Feeder'!G16</f>
        <v>0</v>
      </c>
      <c r="F53" s="42">
        <f>'[18]Appendix2 1213 Feeder'!H16</f>
        <v>0</v>
      </c>
      <c r="G53" s="42">
        <f>'[18]Appendix2 1213 Feeder'!I16</f>
        <v>0</v>
      </c>
      <c r="H53" s="42">
        <f>'[18]Appendix2 1213 Feeder'!J16</f>
        <v>-32</v>
      </c>
      <c r="I53" s="42">
        <v>104</v>
      </c>
      <c r="J53" s="40">
        <f>+B53+SUM(C53:I53)</f>
        <v>582.7719999999999</v>
      </c>
      <c r="K53" s="80">
        <f t="shared" si="16"/>
        <v>0.2647730330836074</v>
      </c>
      <c r="N53" s="73"/>
      <c r="O53" s="89"/>
      <c r="P53" s="66"/>
    </row>
    <row r="54" spans="1:16" ht="12.75">
      <c r="A54" s="10" t="s">
        <v>33</v>
      </c>
      <c r="B54" s="41">
        <f>'[18]Appendix2 1213 Feeder'!D17</f>
        <v>714.838</v>
      </c>
      <c r="C54" s="42">
        <f>'[18]Appendix2 1213 Feeder'!E17</f>
        <v>0</v>
      </c>
      <c r="D54" s="42">
        <f>'[18]Appendix2 1213 Feeder'!F17</f>
        <v>0</v>
      </c>
      <c r="E54" s="42">
        <f>'[18]Appendix2 1213 Feeder'!G17</f>
        <v>0</v>
      </c>
      <c r="F54" s="42">
        <f>'[18]Appendix2 1213 Feeder'!H17</f>
        <v>0</v>
      </c>
      <c r="G54" s="42">
        <f>'[18]Appendix2 1213 Feeder'!I17</f>
        <v>0</v>
      </c>
      <c r="H54" s="42">
        <f>'[18]Appendix2 1213 Feeder'!J17</f>
        <v>0</v>
      </c>
      <c r="I54" s="42">
        <v>0</v>
      </c>
      <c r="J54" s="40">
        <f>+B54+SUM(C54:I54)</f>
        <v>714.838</v>
      </c>
      <c r="K54" s="80">
        <f t="shared" si="16"/>
        <v>0</v>
      </c>
      <c r="M54" s="12">
        <v>1000</v>
      </c>
      <c r="N54" s="73"/>
      <c r="O54" s="89"/>
      <c r="P54" s="66"/>
    </row>
    <row r="55" spans="1:16" ht="12.75">
      <c r="A55" s="27" t="s">
        <v>113</v>
      </c>
      <c r="B55" s="41">
        <f>'[18]Appendix2 1213 Feeder'!D18</f>
        <v>-220.604</v>
      </c>
      <c r="C55" s="42">
        <f>'[18]Appendix2 1213 Feeder'!E18</f>
        <v>0</v>
      </c>
      <c r="D55" s="42">
        <f>'[18]Appendix2 1213 Feeder'!F18</f>
        <v>0</v>
      </c>
      <c r="E55" s="42">
        <f>'[18]Appendix2 1213 Feeder'!G18</f>
        <v>0</v>
      </c>
      <c r="F55" s="42">
        <f>'[18]Appendix2 1213 Feeder'!H18</f>
        <v>-204</v>
      </c>
      <c r="G55" s="42">
        <f>'[18]Appendix2 1213 Feeder'!I18</f>
        <v>0</v>
      </c>
      <c r="H55" s="42">
        <f>'[18]Appendix2 1213 Feeder'!J18</f>
        <v>0</v>
      </c>
      <c r="I55" s="42">
        <v>0</v>
      </c>
      <c r="J55" s="40">
        <f>+B55+SUM(C55:I55)</f>
        <v>-424.60400000000004</v>
      </c>
      <c r="K55" s="80">
        <f t="shared" si="16"/>
        <v>0.9247339123497308</v>
      </c>
      <c r="N55" s="73"/>
      <c r="O55" s="89"/>
      <c r="P55" s="64"/>
    </row>
    <row r="56" spans="1:16" ht="12.75">
      <c r="A56" s="10" t="s">
        <v>34</v>
      </c>
      <c r="B56" s="41">
        <f>'[18]Appendix2 1213 Feeder'!D19</f>
        <v>132.214</v>
      </c>
      <c r="C56" s="42">
        <f>'[18]Appendix2 1213 Feeder'!E19</f>
        <v>0</v>
      </c>
      <c r="D56" s="42">
        <f>'[18]Appendix2 1213 Feeder'!F19</f>
        <v>0</v>
      </c>
      <c r="E56" s="42">
        <f>'[18]Appendix2 1213 Feeder'!G19</f>
        <v>-12</v>
      </c>
      <c r="F56" s="42">
        <f>'[18]Appendix2 1213 Feeder'!H19</f>
        <v>0</v>
      </c>
      <c r="G56" s="42">
        <f>'[18]Appendix2 1213 Feeder'!I19</f>
        <v>0</v>
      </c>
      <c r="H56" s="42">
        <f>'[18]Appendix2 1213 Feeder'!J19</f>
        <v>0</v>
      </c>
      <c r="I56" s="42">
        <v>0</v>
      </c>
      <c r="J56" s="40">
        <f>+B56+SUM(C56:I56)</f>
        <v>120.214</v>
      </c>
      <c r="K56" s="80">
        <f t="shared" si="16"/>
        <v>-0.09076194654121349</v>
      </c>
      <c r="L56" s="12" t="s">
        <v>134</v>
      </c>
      <c r="N56" s="73"/>
      <c r="O56" s="89"/>
      <c r="P56" s="66"/>
    </row>
    <row r="57" spans="1:16" ht="12.75">
      <c r="A57" s="27"/>
      <c r="B57" s="47"/>
      <c r="C57" s="48"/>
      <c r="D57" s="48"/>
      <c r="E57" s="48"/>
      <c r="F57" s="48"/>
      <c r="G57" s="48"/>
      <c r="H57" s="48"/>
      <c r="I57" s="48"/>
      <c r="J57" s="48"/>
      <c r="K57" s="16"/>
      <c r="N57" s="71"/>
      <c r="O57" s="88"/>
      <c r="P57" s="64"/>
    </row>
    <row r="58" spans="1:19" ht="12.75">
      <c r="A58" s="26" t="s">
        <v>138</v>
      </c>
      <c r="B58" s="36">
        <f>+SUM(B59:B68)</f>
        <v>-893.0610000000001</v>
      </c>
      <c r="C58" s="37">
        <f aca="true" t="shared" si="17" ref="C58:I58">+SUM(C59:C68)</f>
        <v>150</v>
      </c>
      <c r="D58" s="37">
        <f t="shared" si="17"/>
        <v>590</v>
      </c>
      <c r="E58" s="37">
        <f t="shared" si="17"/>
        <v>-120</v>
      </c>
      <c r="F58" s="37">
        <f t="shared" si="17"/>
        <v>-50</v>
      </c>
      <c r="G58" s="37">
        <f t="shared" si="17"/>
        <v>-841</v>
      </c>
      <c r="H58" s="37">
        <f t="shared" si="17"/>
        <v>0</v>
      </c>
      <c r="I58" s="37">
        <f t="shared" si="17"/>
        <v>29</v>
      </c>
      <c r="J58" s="37">
        <f>+SUM(J59:J68)</f>
        <v>-1135.061000000001</v>
      </c>
      <c r="K58" s="79">
        <f>+(J58-B58)/B58</f>
        <v>0.270978130273297</v>
      </c>
      <c r="L58" s="12">
        <f>+SUM(L59:L66)</f>
        <v>0</v>
      </c>
      <c r="N58" s="73" t="s">
        <v>233</v>
      </c>
      <c r="O58" s="87" t="s">
        <v>169</v>
      </c>
      <c r="P58" s="94">
        <v>-722945</v>
      </c>
      <c r="Q58" s="95">
        <f>P58-B58*1000</f>
        <v>170116.00000000012</v>
      </c>
      <c r="S58" s="99">
        <v>4503469</v>
      </c>
    </row>
    <row r="59" spans="1:16" ht="12.75">
      <c r="A59" s="84" t="s">
        <v>160</v>
      </c>
      <c r="B59" s="41">
        <f>'[25]Appendix2 1213 Feeder'!$D15</f>
        <v>-1825.232</v>
      </c>
      <c r="C59" s="42">
        <f>+'[25]Appendix2 1213 Feeder'!E15</f>
        <v>85</v>
      </c>
      <c r="D59" s="42">
        <f>+'[25]Appendix2 1213 Feeder'!F15</f>
        <v>105</v>
      </c>
      <c r="E59" s="42">
        <f>+'[25]Appendix2 1213 Feeder'!G15</f>
        <v>0</v>
      </c>
      <c r="F59" s="42">
        <f>+'[25]Appendix2 1213 Feeder'!H15</f>
        <v>0</v>
      </c>
      <c r="G59" s="42">
        <f>+'[25]Appendix2 1213 Feeder'!I15</f>
        <v>-181</v>
      </c>
      <c r="H59" s="42">
        <f>+'[25]Appendix2 1213 Feeder'!J15</f>
        <v>0</v>
      </c>
      <c r="I59" s="42">
        <v>0</v>
      </c>
      <c r="J59" s="40">
        <f>+B59+SUM(C59:I59)</f>
        <v>-1816.232</v>
      </c>
      <c r="K59" s="80">
        <f aca="true" t="shared" si="18" ref="K59:K68">+(J59-B59)/B59</f>
        <v>-0.00493088001963586</v>
      </c>
      <c r="N59" s="12"/>
      <c r="O59" s="90"/>
      <c r="P59" s="66"/>
    </row>
    <row r="60" spans="1:16" ht="12.75">
      <c r="A60" s="84" t="s">
        <v>153</v>
      </c>
      <c r="B60" s="41">
        <f>'[25]Appendix2 1213 Feeder'!$D16-35</f>
        <v>-4233.469</v>
      </c>
      <c r="C60" s="42">
        <f>+'[25]Appendix2 1213 Feeder'!E16</f>
        <v>0</v>
      </c>
      <c r="D60" s="42">
        <f>+'[25]Appendix2 1213 Feeder'!F16</f>
        <v>120</v>
      </c>
      <c r="E60" s="42">
        <f>+'[25]Appendix2 1213 Feeder'!G16</f>
        <v>0</v>
      </c>
      <c r="F60" s="42">
        <f>+'[25]Appendix2 1213 Feeder'!H16</f>
        <v>-50</v>
      </c>
      <c r="G60" s="42">
        <f>+'[25]Appendix2 1213 Feeder'!I16</f>
        <v>-250</v>
      </c>
      <c r="H60" s="42">
        <f>+'[25]Appendix2 1213 Feeder'!J16</f>
        <v>0</v>
      </c>
      <c r="I60" s="42">
        <v>15</v>
      </c>
      <c r="J60" s="40">
        <f aca="true" t="shared" si="19" ref="J60:J68">+B60+SUM(C60:I60)</f>
        <v>-4398.469</v>
      </c>
      <c r="K60" s="80">
        <f t="shared" si="18"/>
        <v>0.0389751289072862</v>
      </c>
      <c r="N60" s="73"/>
      <c r="O60" s="90"/>
      <c r="P60" s="66"/>
    </row>
    <row r="61" spans="1:16" ht="12.75">
      <c r="A61" s="84" t="s">
        <v>154</v>
      </c>
      <c r="B61" s="41">
        <f>'[25]Appendix2 1213 Feeder'!$D17</f>
        <v>2751.149</v>
      </c>
      <c r="C61" s="42">
        <f>+'[25]Appendix2 1213 Feeder'!E17</f>
        <v>0</v>
      </c>
      <c r="D61" s="42">
        <f>+'[25]Appendix2 1213 Feeder'!F17</f>
        <v>189</v>
      </c>
      <c r="E61" s="42">
        <f>+'[25]Appendix2 1213 Feeder'!G17</f>
        <v>-30</v>
      </c>
      <c r="F61" s="42">
        <f>+'[25]Appendix2 1213 Feeder'!H17</f>
        <v>0</v>
      </c>
      <c r="G61" s="42">
        <f>+'[25]Appendix2 1213 Feeder'!I17</f>
        <v>-50</v>
      </c>
      <c r="H61" s="42">
        <f>+'[25]Appendix2 1213 Feeder'!J17</f>
        <v>0</v>
      </c>
      <c r="I61" s="42">
        <v>0</v>
      </c>
      <c r="J61" s="40">
        <f t="shared" si="19"/>
        <v>2860.149</v>
      </c>
      <c r="K61" s="80">
        <f t="shared" si="18"/>
        <v>0.039619809759485945</v>
      </c>
      <c r="N61" s="73"/>
      <c r="O61" s="90"/>
      <c r="P61" s="66"/>
    </row>
    <row r="62" spans="1:16" ht="12.75">
      <c r="A62" s="84" t="s">
        <v>155</v>
      </c>
      <c r="B62" s="41">
        <f>'[25]Appendix2 1213 Feeder'!$D18</f>
        <v>-953.603</v>
      </c>
      <c r="C62" s="42">
        <f>+'[25]Appendix2 1213 Feeder'!E18</f>
        <v>0</v>
      </c>
      <c r="D62" s="42">
        <f>+'[25]Appendix2 1213 Feeder'!F18</f>
        <v>71</v>
      </c>
      <c r="E62" s="42">
        <f>+'[25]Appendix2 1213 Feeder'!G18</f>
        <v>-40</v>
      </c>
      <c r="F62" s="42">
        <f>+'[25]Appendix2 1213 Feeder'!H18</f>
        <v>0</v>
      </c>
      <c r="G62" s="42">
        <f>+'[25]Appendix2 1213 Feeder'!I18</f>
        <v>-180</v>
      </c>
      <c r="H62" s="42">
        <f>+'[25]Appendix2 1213 Feeder'!J18</f>
        <v>0</v>
      </c>
      <c r="I62" s="42">
        <v>0</v>
      </c>
      <c r="J62" s="40">
        <f t="shared" si="19"/>
        <v>-1102.603</v>
      </c>
      <c r="K62" s="80">
        <f t="shared" si="18"/>
        <v>0.15624950844324118</v>
      </c>
      <c r="N62" s="73"/>
      <c r="O62" s="90"/>
      <c r="P62" s="66"/>
    </row>
    <row r="63" spans="1:16" ht="12.75">
      <c r="A63" s="84" t="s">
        <v>96</v>
      </c>
      <c r="B63" s="41">
        <f>'[25]Appendix2 1213 Feeder'!$D19</f>
        <v>-158.653</v>
      </c>
      <c r="C63" s="42">
        <f>+'[25]Appendix2 1213 Feeder'!E19</f>
        <v>0</v>
      </c>
      <c r="D63" s="42">
        <f>+'[25]Appendix2 1213 Feeder'!F19</f>
        <v>0</v>
      </c>
      <c r="E63" s="42">
        <f>+'[25]Appendix2 1213 Feeder'!G19</f>
        <v>0</v>
      </c>
      <c r="F63" s="42">
        <f>+'[25]Appendix2 1213 Feeder'!H19</f>
        <v>0</v>
      </c>
      <c r="G63" s="42">
        <f>+'[25]Appendix2 1213 Feeder'!I19</f>
        <v>-180</v>
      </c>
      <c r="H63" s="42">
        <f>+'[25]Appendix2 1213 Feeder'!J19</f>
        <v>0</v>
      </c>
      <c r="I63" s="42">
        <v>0</v>
      </c>
      <c r="J63" s="40">
        <f t="shared" si="19"/>
        <v>-338.653</v>
      </c>
      <c r="K63" s="80">
        <f t="shared" si="18"/>
        <v>1.1345515054868174</v>
      </c>
      <c r="N63" s="73"/>
      <c r="O63" s="90"/>
      <c r="P63" s="66"/>
    </row>
    <row r="64" spans="1:16" ht="12.75">
      <c r="A64" s="84" t="s">
        <v>156</v>
      </c>
      <c r="B64" s="41">
        <f>'[25]Appendix2 1213 Feeder'!$D20</f>
        <v>3853.578</v>
      </c>
      <c r="C64" s="42">
        <f>+'[25]Appendix2 1213 Feeder'!E20</f>
        <v>0</v>
      </c>
      <c r="D64" s="42">
        <f>+'[25]Appendix2 1213 Feeder'!F20</f>
        <v>30</v>
      </c>
      <c r="E64" s="42">
        <f>+'[25]Appendix2 1213 Feeder'!G20</f>
        <v>-50</v>
      </c>
      <c r="F64" s="42">
        <f>+'[25]Appendix2 1213 Feeder'!H20</f>
        <v>0</v>
      </c>
      <c r="G64" s="42">
        <f>+'[25]Appendix2 1213 Feeder'!I20</f>
        <v>0</v>
      </c>
      <c r="H64" s="42">
        <f>+'[25]Appendix2 1213 Feeder'!J20</f>
        <v>0</v>
      </c>
      <c r="I64" s="42">
        <v>14</v>
      </c>
      <c r="J64" s="40">
        <f t="shared" si="19"/>
        <v>3847.578</v>
      </c>
      <c r="K64" s="80">
        <f t="shared" si="18"/>
        <v>-0.0015569945645319753</v>
      </c>
      <c r="N64" s="73"/>
      <c r="O64" s="90"/>
      <c r="P64" s="66"/>
    </row>
    <row r="65" spans="1:16" ht="12.75">
      <c r="A65" s="84" t="s">
        <v>94</v>
      </c>
      <c r="B65" s="41">
        <f>'[25]Appendix2 1213 Feeder'!$D21</f>
        <v>-2173.453</v>
      </c>
      <c r="C65" s="42">
        <f>+'[25]Appendix2 1213 Feeder'!E21</f>
        <v>65</v>
      </c>
      <c r="D65" s="42">
        <f>+'[25]Appendix2 1213 Feeder'!F21</f>
        <v>0</v>
      </c>
      <c r="E65" s="42">
        <f>+'[25]Appendix2 1213 Feeder'!G21</f>
        <v>0</v>
      </c>
      <c r="F65" s="42">
        <f>+'[25]Appendix2 1213 Feeder'!H21</f>
        <v>0</v>
      </c>
      <c r="G65" s="42">
        <f>+'[25]Appendix2 1213 Feeder'!I21</f>
        <v>0</v>
      </c>
      <c r="H65" s="42">
        <f>+'[25]Appendix2 1213 Feeder'!J21</f>
        <v>0</v>
      </c>
      <c r="I65" s="42">
        <v>0</v>
      </c>
      <c r="J65" s="40">
        <f t="shared" si="19"/>
        <v>-2108.453</v>
      </c>
      <c r="K65" s="80">
        <f t="shared" si="18"/>
        <v>-0.029906328777295852</v>
      </c>
      <c r="N65" s="73"/>
      <c r="O65" s="90"/>
      <c r="P65" s="66"/>
    </row>
    <row r="66" spans="1:16" ht="12.75" customHeight="1">
      <c r="A66" s="84" t="s">
        <v>157</v>
      </c>
      <c r="B66" s="41">
        <f>'[25]Appendix2 1213 Feeder'!$D22</f>
        <v>-74.416</v>
      </c>
      <c r="C66" s="42">
        <f>+'[25]Appendix2 1213 Feeder'!E22</f>
        <v>0</v>
      </c>
      <c r="D66" s="42">
        <f>+'[25]Appendix2 1213 Feeder'!F22</f>
        <v>0</v>
      </c>
      <c r="E66" s="42">
        <f>+'[25]Appendix2 1213 Feeder'!G22</f>
        <v>0</v>
      </c>
      <c r="F66" s="42">
        <f>+'[25]Appendix2 1213 Feeder'!H22</f>
        <v>0</v>
      </c>
      <c r="G66" s="42">
        <f>+'[25]Appendix2 1213 Feeder'!I22</f>
        <v>0</v>
      </c>
      <c r="H66" s="42">
        <f>+'[25]Appendix2 1213 Feeder'!J22</f>
        <v>0</v>
      </c>
      <c r="I66" s="42">
        <v>0</v>
      </c>
      <c r="J66" s="40">
        <f t="shared" si="19"/>
        <v>-74.416</v>
      </c>
      <c r="K66" s="80">
        <f t="shared" si="18"/>
        <v>0</v>
      </c>
      <c r="N66" s="73"/>
      <c r="O66" s="90"/>
      <c r="P66" s="66"/>
    </row>
    <row r="67" spans="1:16" ht="12.75" customHeight="1">
      <c r="A67" s="84" t="s">
        <v>158</v>
      </c>
      <c r="B67" s="41">
        <f>'[25]Appendix2 1213 Feeder'!$D23</f>
        <v>-147.477</v>
      </c>
      <c r="C67" s="42">
        <f>+'[25]Appendix2 1213 Feeder'!E23</f>
        <v>0</v>
      </c>
      <c r="D67" s="42">
        <f>+'[25]Appendix2 1213 Feeder'!F23</f>
        <v>0</v>
      </c>
      <c r="E67" s="42">
        <f>+'[25]Appendix2 1213 Feeder'!G23</f>
        <v>0</v>
      </c>
      <c r="F67" s="42">
        <f>+'[25]Appendix2 1213 Feeder'!H23</f>
        <v>0</v>
      </c>
      <c r="G67" s="42">
        <f>+'[25]Appendix2 1213 Feeder'!I23</f>
        <v>0</v>
      </c>
      <c r="H67" s="42">
        <f>+'[25]Appendix2 1213 Feeder'!J23</f>
        <v>0</v>
      </c>
      <c r="I67" s="42">
        <v>0</v>
      </c>
      <c r="J67" s="40">
        <f t="shared" si="19"/>
        <v>-147.477</v>
      </c>
      <c r="K67" s="80">
        <f t="shared" si="18"/>
        <v>0</v>
      </c>
      <c r="N67" s="73"/>
      <c r="O67" s="90"/>
      <c r="P67" s="66"/>
    </row>
    <row r="68" spans="1:16" ht="12.75" customHeight="1">
      <c r="A68" s="84" t="s">
        <v>159</v>
      </c>
      <c r="B68" s="41">
        <f>'[25]Appendix2 1213 Feeder'!$D24</f>
        <v>2068.515</v>
      </c>
      <c r="C68" s="42">
        <f>+'[25]Appendix2 1213 Feeder'!E24</f>
        <v>0</v>
      </c>
      <c r="D68" s="42">
        <f>+'[25]Appendix2 1213 Feeder'!F24</f>
        <v>75</v>
      </c>
      <c r="E68" s="42">
        <f>+'[25]Appendix2 1213 Feeder'!G24</f>
        <v>0</v>
      </c>
      <c r="F68" s="42">
        <f>+'[25]Appendix2 1213 Feeder'!H24</f>
        <v>0</v>
      </c>
      <c r="G68" s="42">
        <f>+'[25]Appendix2 1213 Feeder'!I24</f>
        <v>0</v>
      </c>
      <c r="H68" s="42">
        <f>+'[25]Appendix2 1213 Feeder'!J24</f>
        <v>0</v>
      </c>
      <c r="I68" s="42">
        <v>0</v>
      </c>
      <c r="J68" s="40">
        <f t="shared" si="19"/>
        <v>2143.515</v>
      </c>
      <c r="K68" s="80">
        <f t="shared" si="18"/>
        <v>0.03625789515667037</v>
      </c>
      <c r="N68" s="73"/>
      <c r="O68" s="90"/>
      <c r="P68" s="66"/>
    </row>
    <row r="69" spans="1:16" ht="12.75">
      <c r="A69" s="27"/>
      <c r="B69" s="41"/>
      <c r="C69" s="42"/>
      <c r="D69" s="42"/>
      <c r="E69" s="42"/>
      <c r="F69" s="42"/>
      <c r="G69" s="42"/>
      <c r="H69" s="42"/>
      <c r="I69" s="42"/>
      <c r="J69" s="42"/>
      <c r="K69" s="18"/>
      <c r="N69" s="72"/>
      <c r="O69" s="90"/>
      <c r="P69" s="66"/>
    </row>
    <row r="70" spans="1:19" ht="12.75">
      <c r="A70" s="26" t="s">
        <v>21</v>
      </c>
      <c r="B70" s="36">
        <f aca="true" t="shared" si="20" ref="B70:I70">+SUM(B71:B74)</f>
        <v>3073.024</v>
      </c>
      <c r="C70" s="38">
        <f t="shared" si="20"/>
        <v>0</v>
      </c>
      <c r="D70" s="38">
        <f t="shared" si="20"/>
        <v>0</v>
      </c>
      <c r="E70" s="38">
        <f t="shared" si="20"/>
        <v>-247.014</v>
      </c>
      <c r="F70" s="38">
        <f t="shared" si="20"/>
        <v>93</v>
      </c>
      <c r="G70" s="38">
        <f t="shared" si="20"/>
        <v>0</v>
      </c>
      <c r="H70" s="38">
        <f t="shared" si="20"/>
        <v>0</v>
      </c>
      <c r="I70" s="38">
        <f t="shared" si="20"/>
        <v>0</v>
      </c>
      <c r="J70" s="38">
        <f>+SUM(J71:J74)</f>
        <v>2919.01</v>
      </c>
      <c r="K70" s="79">
        <f>+(J70-B70)/B70</f>
        <v>-0.050118059605131514</v>
      </c>
      <c r="N70" s="73" t="s">
        <v>234</v>
      </c>
      <c r="O70" s="87" t="s">
        <v>170</v>
      </c>
      <c r="P70" s="94">
        <v>3090390</v>
      </c>
      <c r="Q70" s="95">
        <f>P70-B70*1000</f>
        <v>17366</v>
      </c>
      <c r="S70" s="99">
        <v>2838048</v>
      </c>
    </row>
    <row r="71" spans="1:16" ht="12.75">
      <c r="A71" s="11" t="s">
        <v>21</v>
      </c>
      <c r="B71" s="41">
        <f>'[21]Appendix2 1213 Feeder'!C15</f>
        <v>2120.136</v>
      </c>
      <c r="C71" s="42">
        <f>'[21]Appendix2 1213 Feeder'!D15</f>
        <v>0</v>
      </c>
      <c r="D71" s="42">
        <f>'[21]Appendix2 1213 Feeder'!E15</f>
        <v>0</v>
      </c>
      <c r="E71" s="42">
        <f>'[21]Appendix2 1213 Feeder'!F15</f>
        <v>-44.243</v>
      </c>
      <c r="F71" s="42">
        <f>'[21]Appendix2 1213 Feeder'!G15</f>
        <v>35</v>
      </c>
      <c r="G71" s="42">
        <f>'[21]Appendix2 1213 Feeder'!H15</f>
        <v>0</v>
      </c>
      <c r="H71" s="42">
        <f>'[21]Appendix2 1213 Feeder'!I15</f>
        <v>0</v>
      </c>
      <c r="I71" s="42">
        <v>0</v>
      </c>
      <c r="J71" s="40">
        <f>+B71+SUM(C71:I71)</f>
        <v>2110.893</v>
      </c>
      <c r="K71" s="80">
        <f>+(J71-B71)/B71</f>
        <v>-0.0043596259862574566</v>
      </c>
      <c r="N71" s="12"/>
      <c r="O71" s="91"/>
      <c r="P71" s="66"/>
    </row>
    <row r="72" spans="1:16" ht="12.75">
      <c r="A72" s="11" t="s">
        <v>69</v>
      </c>
      <c r="B72" s="41">
        <f>'[21]Appendix2 1213 Feeder'!C16</f>
        <v>362.093</v>
      </c>
      <c r="C72" s="42">
        <f>'[21]Appendix2 1213 Feeder'!D16</f>
        <v>0</v>
      </c>
      <c r="D72" s="42">
        <f>'[21]Appendix2 1213 Feeder'!E16</f>
        <v>0</v>
      </c>
      <c r="E72" s="42">
        <f>'[21]Appendix2 1213 Feeder'!F16</f>
        <v>-133.371</v>
      </c>
      <c r="F72" s="42">
        <f>'[21]Appendix2 1213 Feeder'!G16</f>
        <v>0</v>
      </c>
      <c r="G72" s="42">
        <f>'[21]Appendix2 1213 Feeder'!H16</f>
        <v>0</v>
      </c>
      <c r="H72" s="42">
        <f>'[21]Appendix2 1213 Feeder'!I16</f>
        <v>0</v>
      </c>
      <c r="I72" s="42">
        <v>0</v>
      </c>
      <c r="J72" s="40">
        <f>+B72+SUM(C72:I72)</f>
        <v>228.722</v>
      </c>
      <c r="K72" s="80">
        <f>+(J72-B72)/B72</f>
        <v>-0.36833354966817916</v>
      </c>
      <c r="N72" s="73"/>
      <c r="O72" s="91"/>
      <c r="P72" s="66"/>
    </row>
    <row r="73" spans="1:16" ht="12.75">
      <c r="A73" s="11" t="s">
        <v>70</v>
      </c>
      <c r="B73" s="41">
        <f>'[21]Appendix2 1213 Feeder'!C17</f>
        <v>583.619</v>
      </c>
      <c r="C73" s="42">
        <f>'[21]Appendix2 1213 Feeder'!D17</f>
        <v>0</v>
      </c>
      <c r="D73" s="42">
        <f>'[21]Appendix2 1213 Feeder'!E17</f>
        <v>0</v>
      </c>
      <c r="E73" s="42">
        <f>'[21]Appendix2 1213 Feeder'!F17</f>
        <v>-69.4</v>
      </c>
      <c r="F73" s="42">
        <f>'[21]Appendix2 1213 Feeder'!G17</f>
        <v>58</v>
      </c>
      <c r="G73" s="42">
        <f>'[21]Appendix2 1213 Feeder'!H17</f>
        <v>0</v>
      </c>
      <c r="H73" s="42">
        <f>'[21]Appendix2 1213 Feeder'!I17</f>
        <v>0</v>
      </c>
      <c r="I73" s="42">
        <v>0</v>
      </c>
      <c r="J73" s="40">
        <f>+B73+SUM(C73:I73)</f>
        <v>572.219</v>
      </c>
      <c r="K73" s="80">
        <f>+(J73-B73)/B73</f>
        <v>-0.019533291411006112</v>
      </c>
      <c r="N73" s="73"/>
      <c r="O73" s="91"/>
      <c r="P73" s="66"/>
    </row>
    <row r="74" spans="1:16" ht="12.75">
      <c r="A74" s="11" t="s">
        <v>71</v>
      </c>
      <c r="B74" s="41">
        <f>'[21]Appendix2 1213 Feeder'!C18</f>
        <v>7.176</v>
      </c>
      <c r="C74" s="42">
        <f>'[21]Appendix2 1213 Feeder'!D18</f>
        <v>0</v>
      </c>
      <c r="D74" s="42">
        <f>'[21]Appendix2 1213 Feeder'!E18</f>
        <v>0</v>
      </c>
      <c r="E74" s="42">
        <f>'[21]Appendix2 1213 Feeder'!F18</f>
        <v>0</v>
      </c>
      <c r="F74" s="42">
        <f>'[21]Appendix2 1213 Feeder'!G18</f>
        <v>0</v>
      </c>
      <c r="G74" s="42">
        <f>'[21]Appendix2 1213 Feeder'!H18</f>
        <v>0</v>
      </c>
      <c r="H74" s="42">
        <f>'[21]Appendix2 1213 Feeder'!I18</f>
        <v>0</v>
      </c>
      <c r="I74" s="42">
        <v>0</v>
      </c>
      <c r="J74" s="40">
        <f>+B74+SUM(C74:I74)</f>
        <v>7.176</v>
      </c>
      <c r="K74" s="80">
        <f>+(J74-B74)/B74</f>
        <v>0</v>
      </c>
      <c r="N74" s="73"/>
      <c r="O74" s="91"/>
      <c r="P74" s="66"/>
    </row>
    <row r="75" spans="1:16" ht="12.75">
      <c r="A75" s="27"/>
      <c r="B75" s="47"/>
      <c r="C75" s="48"/>
      <c r="D75" s="48"/>
      <c r="E75" s="48"/>
      <c r="F75" s="48"/>
      <c r="G75" s="48"/>
      <c r="H75" s="42"/>
      <c r="I75" s="42"/>
      <c r="J75" s="48"/>
      <c r="K75" s="16"/>
      <c r="N75" s="71"/>
      <c r="O75" s="88"/>
      <c r="P75" s="64"/>
    </row>
    <row r="76" spans="1:19" ht="12.75">
      <c r="A76" s="28" t="s">
        <v>38</v>
      </c>
      <c r="B76" s="36">
        <f aca="true" t="shared" si="21" ref="B76:I76">+SUM(B77:B84)</f>
        <v>4027.0769999999993</v>
      </c>
      <c r="C76" s="38">
        <f t="shared" si="21"/>
        <v>0</v>
      </c>
      <c r="D76" s="38">
        <f t="shared" si="21"/>
        <v>-344</v>
      </c>
      <c r="E76" s="38">
        <f t="shared" si="21"/>
        <v>-309.5577000000002</v>
      </c>
      <c r="F76" s="38">
        <f t="shared" si="21"/>
        <v>-2</v>
      </c>
      <c r="G76" s="38">
        <f t="shared" si="21"/>
        <v>-54</v>
      </c>
      <c r="H76" s="38">
        <f t="shared" si="21"/>
        <v>-35</v>
      </c>
      <c r="I76" s="38">
        <f t="shared" si="21"/>
        <v>127</v>
      </c>
      <c r="J76" s="38">
        <f>+SUM(J77:J84)</f>
        <v>3409.519299999999</v>
      </c>
      <c r="K76" s="79">
        <f>+(J76-B76)/B76</f>
        <v>-0.1533513513647741</v>
      </c>
      <c r="N76" s="73" t="s">
        <v>235</v>
      </c>
      <c r="O76" s="87" t="s">
        <v>171</v>
      </c>
      <c r="P76" s="94">
        <v>3977077</v>
      </c>
      <c r="Q76" s="95">
        <f>P76-B76*1000</f>
        <v>-49999.999999999534</v>
      </c>
      <c r="S76" s="99">
        <v>5778598</v>
      </c>
    </row>
    <row r="77" spans="1:16" ht="12.75">
      <c r="A77" s="21" t="s">
        <v>74</v>
      </c>
      <c r="B77" s="41">
        <f>'[26]Appendix2 Feeder 1213'!$C17</f>
        <v>1547.993</v>
      </c>
      <c r="C77" s="42">
        <f>'[26]Appendix2 Feeder 1213'!D17</f>
        <v>0</v>
      </c>
      <c r="D77" s="42">
        <f>'[26]Appendix2 Feeder 1213'!E17</f>
        <v>-354</v>
      </c>
      <c r="E77" s="42">
        <f>'[26]Appendix2 Feeder 1213'!F17</f>
        <v>-156.55770000000018</v>
      </c>
      <c r="F77" s="42">
        <f>'[26]Appendix2 Feeder 1213'!G17</f>
        <v>0</v>
      </c>
      <c r="G77" s="42">
        <f>'[26]Appendix2 Feeder 1213'!H17</f>
        <v>0</v>
      </c>
      <c r="H77" s="42">
        <f>'[26]Appendix2 Feeder 1213'!I17</f>
        <v>-30</v>
      </c>
      <c r="I77" s="42">
        <v>71</v>
      </c>
      <c r="J77" s="40">
        <f>+B77+SUM(C77:I77)</f>
        <v>1078.4352999999996</v>
      </c>
      <c r="K77" s="80">
        <f aca="true" t="shared" si="22" ref="K77:K84">+(J77-B77)/B77</f>
        <v>-0.3033332192070638</v>
      </c>
      <c r="N77" s="12"/>
      <c r="O77" s="90"/>
      <c r="P77" s="66"/>
    </row>
    <row r="78" spans="1:16" ht="12.75">
      <c r="A78" s="21" t="s">
        <v>137</v>
      </c>
      <c r="B78" s="41">
        <f>'[26]Appendix2 Feeder 1213'!$C18</f>
        <v>6.856</v>
      </c>
      <c r="C78" s="42">
        <f>'[26]Appendix2 Feeder 1213'!D18</f>
        <v>0</v>
      </c>
      <c r="D78" s="42">
        <f>'[26]Appendix2 Feeder 1213'!E18</f>
        <v>0</v>
      </c>
      <c r="E78" s="42">
        <f>'[26]Appendix2 Feeder 1213'!F18</f>
        <v>0</v>
      </c>
      <c r="F78" s="42">
        <f>'[26]Appendix2 Feeder 1213'!G18</f>
        <v>0</v>
      </c>
      <c r="G78" s="42">
        <f>'[26]Appendix2 Feeder 1213'!H18</f>
        <v>0</v>
      </c>
      <c r="H78" s="42">
        <f>'[26]Appendix2 Feeder 1213'!I18</f>
        <v>0</v>
      </c>
      <c r="I78" s="42">
        <v>0</v>
      </c>
      <c r="J78" s="40">
        <f aca="true" t="shared" si="23" ref="J78:J84">+B78+SUM(C78:I78)</f>
        <v>6.856</v>
      </c>
      <c r="K78" s="80">
        <f t="shared" si="22"/>
        <v>0</v>
      </c>
      <c r="N78" s="73"/>
      <c r="O78" s="90"/>
      <c r="P78" s="66"/>
    </row>
    <row r="79" spans="1:16" ht="12.75">
      <c r="A79" s="21" t="s">
        <v>75</v>
      </c>
      <c r="B79" s="41">
        <f>'[26]Appendix2 Feeder 1213'!$C19</f>
        <v>96.243</v>
      </c>
      <c r="C79" s="42">
        <f>'[26]Appendix2 Feeder 1213'!D19</f>
        <v>0</v>
      </c>
      <c r="D79" s="42">
        <f>'[26]Appendix2 Feeder 1213'!E19</f>
        <v>0</v>
      </c>
      <c r="E79" s="42">
        <f>'[26]Appendix2 Feeder 1213'!F19</f>
        <v>0</v>
      </c>
      <c r="F79" s="42">
        <f>'[26]Appendix2 Feeder 1213'!G19</f>
        <v>0</v>
      </c>
      <c r="G79" s="42">
        <f>'[26]Appendix2 Feeder 1213'!H19</f>
        <v>-1</v>
      </c>
      <c r="H79" s="42">
        <f>'[26]Appendix2 Feeder 1213'!I19</f>
        <v>0</v>
      </c>
      <c r="I79" s="42">
        <v>0</v>
      </c>
      <c r="J79" s="40">
        <f t="shared" si="23"/>
        <v>95.243</v>
      </c>
      <c r="K79" s="80">
        <f t="shared" si="22"/>
        <v>-0.010390366052596033</v>
      </c>
      <c r="N79" s="73"/>
      <c r="O79" s="90"/>
      <c r="P79" s="66"/>
    </row>
    <row r="80" spans="1:16" ht="12.75">
      <c r="A80" s="21" t="s">
        <v>76</v>
      </c>
      <c r="B80" s="41">
        <f>'[26]Appendix2 Feeder 1213'!$C20</f>
        <v>-10.853</v>
      </c>
      <c r="C80" s="42">
        <f>'[26]Appendix2 Feeder 1213'!D20</f>
        <v>0</v>
      </c>
      <c r="D80" s="42">
        <f>'[26]Appendix2 Feeder 1213'!E20</f>
        <v>0</v>
      </c>
      <c r="E80" s="42">
        <f>'[26]Appendix2 Feeder 1213'!F20</f>
        <v>0</v>
      </c>
      <c r="F80" s="42">
        <f>'[26]Appendix2 Feeder 1213'!G20</f>
        <v>0</v>
      </c>
      <c r="G80" s="42">
        <f>'[26]Appendix2 Feeder 1213'!H20</f>
        <v>0</v>
      </c>
      <c r="H80" s="42">
        <f>'[26]Appendix2 Feeder 1213'!I20</f>
        <v>0</v>
      </c>
      <c r="I80" s="42">
        <v>0</v>
      </c>
      <c r="J80" s="40">
        <f t="shared" si="23"/>
        <v>-10.853</v>
      </c>
      <c r="K80" s="80">
        <f t="shared" si="22"/>
        <v>0</v>
      </c>
      <c r="N80" s="73"/>
      <c r="O80" s="90"/>
      <c r="P80" s="66"/>
    </row>
    <row r="81" spans="1:16" ht="12.75">
      <c r="A81" s="21" t="s">
        <v>77</v>
      </c>
      <c r="B81" s="41">
        <f>'[26]Appendix2 Feeder 1213'!$C21</f>
        <v>25.65</v>
      </c>
      <c r="C81" s="42">
        <f>'[26]Appendix2 Feeder 1213'!D21</f>
        <v>0</v>
      </c>
      <c r="D81" s="42">
        <f>'[26]Appendix2 Feeder 1213'!E21</f>
        <v>10</v>
      </c>
      <c r="E81" s="42">
        <f>'[26]Appendix2 Feeder 1213'!F21</f>
        <v>-10</v>
      </c>
      <c r="F81" s="42">
        <f>'[26]Appendix2 Feeder 1213'!G21</f>
        <v>-2</v>
      </c>
      <c r="G81" s="42">
        <f>'[26]Appendix2 Feeder 1213'!H21</f>
        <v>0</v>
      </c>
      <c r="H81" s="42">
        <f>'[26]Appendix2 Feeder 1213'!I21</f>
        <v>-5</v>
      </c>
      <c r="I81" s="42">
        <v>5</v>
      </c>
      <c r="J81" s="40">
        <f t="shared" si="23"/>
        <v>23.65</v>
      </c>
      <c r="K81" s="80">
        <f t="shared" si="22"/>
        <v>-0.07797270955165693</v>
      </c>
      <c r="N81" s="73"/>
      <c r="O81" s="90"/>
      <c r="P81" s="66"/>
    </row>
    <row r="82" spans="1:16" ht="12.75">
      <c r="A82" s="21" t="s">
        <v>78</v>
      </c>
      <c r="B82" s="41">
        <f>'[26]Appendix2 Feeder 1213'!$C22</f>
        <v>132.888</v>
      </c>
      <c r="C82" s="42">
        <f>'[26]Appendix2 Feeder 1213'!D22</f>
        <v>0</v>
      </c>
      <c r="D82" s="42">
        <f>'[26]Appendix2 Feeder 1213'!E22</f>
        <v>0</v>
      </c>
      <c r="E82" s="42">
        <f>'[26]Appendix2 Feeder 1213'!F22</f>
        <v>0</v>
      </c>
      <c r="F82" s="42">
        <f>'[26]Appendix2 Feeder 1213'!G22</f>
        <v>0</v>
      </c>
      <c r="G82" s="42">
        <f>'[26]Appendix2 Feeder 1213'!H22</f>
        <v>0</v>
      </c>
      <c r="H82" s="42">
        <f>'[26]Appendix2 Feeder 1213'!I22</f>
        <v>0</v>
      </c>
      <c r="I82" s="42">
        <v>0</v>
      </c>
      <c r="J82" s="40">
        <f t="shared" si="23"/>
        <v>132.888</v>
      </c>
      <c r="K82" s="80">
        <f t="shared" si="22"/>
        <v>0</v>
      </c>
      <c r="N82" s="73"/>
      <c r="O82" s="90"/>
      <c r="P82" s="66"/>
    </row>
    <row r="83" spans="1:16" ht="12.75">
      <c r="A83" s="21" t="s">
        <v>79</v>
      </c>
      <c r="B83" s="41">
        <f>'[26]Appendix2 Feeder 1213'!$C23</f>
        <v>2175.493</v>
      </c>
      <c r="C83" s="42">
        <f>'[26]Appendix2 Feeder 1213'!D23</f>
        <v>0</v>
      </c>
      <c r="D83" s="42">
        <f>'[26]Appendix2 Feeder 1213'!E23</f>
        <v>0</v>
      </c>
      <c r="E83" s="42">
        <f>'[26]Appendix2 Feeder 1213'!F23</f>
        <v>-143</v>
      </c>
      <c r="F83" s="42">
        <f>'[26]Appendix2 Feeder 1213'!G23</f>
        <v>0</v>
      </c>
      <c r="G83" s="42">
        <f>'[26]Appendix2 Feeder 1213'!H23</f>
        <v>-53</v>
      </c>
      <c r="H83" s="42">
        <f>'[26]Appendix2 Feeder 1213'!I23</f>
        <v>0</v>
      </c>
      <c r="I83" s="42">
        <v>51</v>
      </c>
      <c r="J83" s="40">
        <f t="shared" si="23"/>
        <v>2030.493</v>
      </c>
      <c r="K83" s="80">
        <f t="shared" si="22"/>
        <v>-0.06665155897996454</v>
      </c>
      <c r="N83" s="73"/>
      <c r="O83" s="90"/>
      <c r="P83" s="66"/>
    </row>
    <row r="84" spans="1:16" ht="12.75">
      <c r="A84" s="21" t="s">
        <v>80</v>
      </c>
      <c r="B84" s="41">
        <f>'[26]Appendix2 Feeder 1213'!$C24</f>
        <v>52.807</v>
      </c>
      <c r="C84" s="42">
        <f>'[26]Appendix2 Feeder 1213'!D24</f>
        <v>0</v>
      </c>
      <c r="D84" s="42">
        <f>'[26]Appendix2 Feeder 1213'!E24</f>
        <v>0</v>
      </c>
      <c r="E84" s="42">
        <f>'[26]Appendix2 Feeder 1213'!F24</f>
        <v>0</v>
      </c>
      <c r="F84" s="42">
        <f>'[26]Appendix2 Feeder 1213'!G24</f>
        <v>0</v>
      </c>
      <c r="G84" s="42">
        <f>'[26]Appendix2 Feeder 1213'!H24</f>
        <v>0</v>
      </c>
      <c r="H84" s="42">
        <f>'[26]Appendix2 Feeder 1213'!I24</f>
        <v>0</v>
      </c>
      <c r="I84" s="42">
        <v>0</v>
      </c>
      <c r="J84" s="40">
        <f t="shared" si="23"/>
        <v>52.807</v>
      </c>
      <c r="K84" s="80">
        <f t="shared" si="22"/>
        <v>0</v>
      </c>
      <c r="N84" s="73"/>
      <c r="O84" s="90"/>
      <c r="P84" s="66"/>
    </row>
    <row r="85" spans="1:16" ht="12.75">
      <c r="A85" s="28"/>
      <c r="B85" s="47"/>
      <c r="C85" s="48"/>
      <c r="D85" s="48"/>
      <c r="E85" s="48"/>
      <c r="F85" s="48"/>
      <c r="G85" s="42"/>
      <c r="H85" s="42"/>
      <c r="I85" s="42"/>
      <c r="J85" s="48"/>
      <c r="K85" s="16"/>
      <c r="N85" s="71"/>
      <c r="O85" s="88"/>
      <c r="P85" s="64"/>
    </row>
    <row r="86" spans="1:16" ht="12.75">
      <c r="A86" s="27"/>
      <c r="B86" s="47"/>
      <c r="C86" s="100"/>
      <c r="D86" s="100"/>
      <c r="E86" s="100"/>
      <c r="F86" s="100"/>
      <c r="G86" s="100"/>
      <c r="H86" s="100"/>
      <c r="I86" s="100"/>
      <c r="J86" s="100"/>
      <c r="K86" s="16"/>
      <c r="N86" s="71"/>
      <c r="O86" s="88"/>
      <c r="P86" s="64"/>
    </row>
    <row r="87" spans="1:16" ht="12.75">
      <c r="A87" s="57" t="s">
        <v>39</v>
      </c>
      <c r="B87" s="36">
        <f>B89+B95+B103</f>
        <v>4875.326</v>
      </c>
      <c r="C87" s="37">
        <f aca="true" t="shared" si="24" ref="C87:I87">C89+C95+C103</f>
        <v>0</v>
      </c>
      <c r="D87" s="37">
        <f t="shared" si="24"/>
        <v>52</v>
      </c>
      <c r="E87" s="37">
        <f t="shared" si="24"/>
        <v>-100</v>
      </c>
      <c r="F87" s="37">
        <f t="shared" si="24"/>
        <v>-116</v>
      </c>
      <c r="G87" s="37">
        <f t="shared" si="24"/>
        <v>-51.5</v>
      </c>
      <c r="H87" s="37">
        <f t="shared" si="24"/>
        <v>-53.2</v>
      </c>
      <c r="I87" s="37">
        <f t="shared" si="24"/>
        <v>409</v>
      </c>
      <c r="J87" s="37">
        <f>J89+J95+J103</f>
        <v>5015.626</v>
      </c>
      <c r="K87" s="79">
        <f>+(J87-B87)/B87</f>
        <v>0.028777562772212602</v>
      </c>
      <c r="N87" s="70"/>
      <c r="O87" s="87"/>
      <c r="P87" s="63"/>
    </row>
    <row r="88" spans="1:16" ht="12.75">
      <c r="A88" s="31"/>
      <c r="B88" s="47"/>
      <c r="C88" s="100"/>
      <c r="D88" s="100"/>
      <c r="E88" s="100"/>
      <c r="F88" s="100"/>
      <c r="G88" s="100"/>
      <c r="H88" s="100"/>
      <c r="I88" s="100"/>
      <c r="J88" s="100"/>
      <c r="K88" s="16"/>
      <c r="N88" s="71"/>
      <c r="O88" s="88"/>
      <c r="P88" s="64"/>
    </row>
    <row r="89" spans="1:19" ht="12.75" customHeight="1">
      <c r="A89" s="26" t="s">
        <v>116</v>
      </c>
      <c r="B89" s="36">
        <f aca="true" t="shared" si="25" ref="B89:I89">+SUM(B90:B93)</f>
        <v>958.551</v>
      </c>
      <c r="C89" s="37">
        <f t="shared" si="25"/>
        <v>0</v>
      </c>
      <c r="D89" s="37">
        <f t="shared" si="25"/>
        <v>52</v>
      </c>
      <c r="E89" s="37">
        <f t="shared" si="25"/>
        <v>-6</v>
      </c>
      <c r="F89" s="37">
        <f t="shared" si="25"/>
        <v>-130</v>
      </c>
      <c r="G89" s="37">
        <f t="shared" si="25"/>
        <v>-46.5</v>
      </c>
      <c r="H89" s="37">
        <f t="shared" si="25"/>
        <v>0</v>
      </c>
      <c r="I89" s="37">
        <f t="shared" si="25"/>
        <v>350</v>
      </c>
      <c r="J89" s="37">
        <f>+SUM(J90:J93)</f>
        <v>1178.051</v>
      </c>
      <c r="K89" s="79">
        <f>+(J89-B89)/B89</f>
        <v>0.22899146732933343</v>
      </c>
      <c r="N89" s="73" t="s">
        <v>236</v>
      </c>
      <c r="O89" s="87" t="s">
        <v>162</v>
      </c>
      <c r="P89" s="94">
        <v>998551</v>
      </c>
      <c r="Q89" s="95">
        <f>P89-B89*1000</f>
        <v>40000</v>
      </c>
      <c r="S89" s="99">
        <v>1025777</v>
      </c>
    </row>
    <row r="90" spans="1:16" ht="12.75">
      <c r="A90" s="83" t="s">
        <v>139</v>
      </c>
      <c r="B90" s="41">
        <v>194.459</v>
      </c>
      <c r="C90" s="125">
        <f>+'[24]Appendix2 1213 Feeder'!D15</f>
        <v>0</v>
      </c>
      <c r="D90" s="125">
        <f>+'[24]Appendix2 1213 Feeder'!E15</f>
        <v>-50</v>
      </c>
      <c r="E90" s="125">
        <f>+'[24]Appendix2 1213 Feeder'!F15</f>
        <v>-6</v>
      </c>
      <c r="F90" s="125">
        <f>+'[24]Appendix2 1213 Feeder'!G15</f>
        <v>-160</v>
      </c>
      <c r="G90" s="125">
        <f>+'[24]Appendix2 1213 Feeder'!H15</f>
        <v>-34</v>
      </c>
      <c r="H90" s="125">
        <f>+'[24]Appendix2 1213 Feeder'!I15</f>
        <v>0</v>
      </c>
      <c r="I90" s="125">
        <v>0</v>
      </c>
      <c r="J90" s="40">
        <f>+B90+SUM(C90:I90)</f>
        <v>-55.541</v>
      </c>
      <c r="K90" s="80">
        <f>+(J90-B90)/B90</f>
        <v>-1.2856180480204054</v>
      </c>
      <c r="O90" s="89"/>
      <c r="P90" s="65"/>
    </row>
    <row r="91" spans="1:16" ht="12.75">
      <c r="A91" s="83" t="s">
        <v>140</v>
      </c>
      <c r="B91" s="41">
        <v>399.307</v>
      </c>
      <c r="C91" s="125">
        <f>+'[24]Appendix2 1213 Feeder'!D16</f>
        <v>0</v>
      </c>
      <c r="D91" s="125">
        <f>+'[24]Appendix2 1213 Feeder'!E16</f>
        <v>0</v>
      </c>
      <c r="E91" s="125">
        <f>+'[24]Appendix2 1213 Feeder'!F16</f>
        <v>0</v>
      </c>
      <c r="F91" s="125">
        <f>+'[24]Appendix2 1213 Feeder'!G16</f>
        <v>0</v>
      </c>
      <c r="G91" s="125">
        <f>+'[24]Appendix2 1213 Feeder'!H16</f>
        <v>-0.5</v>
      </c>
      <c r="H91" s="125">
        <f>+'[24]Appendix2 1213 Feeder'!I16</f>
        <v>0</v>
      </c>
      <c r="I91" s="125">
        <v>0</v>
      </c>
      <c r="J91" s="40">
        <f>+B91+SUM(C91:I91)</f>
        <v>398.807</v>
      </c>
      <c r="K91" s="80">
        <f>+(J91-B91)/B91</f>
        <v>-0.001252169383456839</v>
      </c>
      <c r="N91" s="73"/>
      <c r="O91" s="89"/>
      <c r="P91" s="65"/>
    </row>
    <row r="92" spans="1:16" ht="12.75">
      <c r="A92" s="83" t="s">
        <v>68</v>
      </c>
      <c r="B92" s="41">
        <v>176.439</v>
      </c>
      <c r="C92" s="125">
        <f>+'[24]Appendix2 1213 Feeder'!D17</f>
        <v>0</v>
      </c>
      <c r="D92" s="125">
        <f>+'[24]Appendix2 1213 Feeder'!E17</f>
        <v>102</v>
      </c>
      <c r="E92" s="125">
        <f>+'[24]Appendix2 1213 Feeder'!F17</f>
        <v>0</v>
      </c>
      <c r="F92" s="125">
        <f>+'[24]Appendix2 1213 Feeder'!G17</f>
        <v>30</v>
      </c>
      <c r="G92" s="125">
        <f>+'[24]Appendix2 1213 Feeder'!H17</f>
        <v>-12</v>
      </c>
      <c r="H92" s="125">
        <f>+'[24]Appendix2 1213 Feeder'!I17</f>
        <v>0</v>
      </c>
      <c r="I92" s="125">
        <v>350</v>
      </c>
      <c r="J92" s="40">
        <f>+B92+SUM(C92:I92)</f>
        <v>646.439</v>
      </c>
      <c r="K92" s="80">
        <f>+(J92-B92)/B92</f>
        <v>2.663810155351141</v>
      </c>
      <c r="N92" s="73"/>
      <c r="O92" s="89"/>
      <c r="P92" s="65"/>
    </row>
    <row r="93" spans="1:16" ht="12.75">
      <c r="A93" s="83" t="s">
        <v>141</v>
      </c>
      <c r="B93" s="41">
        <v>188.346</v>
      </c>
      <c r="C93" s="125">
        <f>+'[24]Appendix2 1213 Feeder'!D18</f>
        <v>0</v>
      </c>
      <c r="D93" s="125">
        <f>+'[24]Appendix2 1213 Feeder'!E18</f>
        <v>0</v>
      </c>
      <c r="E93" s="125">
        <f>+'[24]Appendix2 1213 Feeder'!F18</f>
        <v>0</v>
      </c>
      <c r="F93" s="125">
        <f>+'[24]Appendix2 1213 Feeder'!G18</f>
        <v>0</v>
      </c>
      <c r="G93" s="125">
        <f>+'[24]Appendix2 1213 Feeder'!H18</f>
        <v>0</v>
      </c>
      <c r="H93" s="125">
        <f>+'[24]Appendix2 1213 Feeder'!I18</f>
        <v>0</v>
      </c>
      <c r="I93" s="125">
        <v>0</v>
      </c>
      <c r="J93" s="40">
        <f>+B93+SUM(C93:I93)</f>
        <v>188.346</v>
      </c>
      <c r="K93" s="80">
        <f>+(J93-B93)/B93</f>
        <v>0</v>
      </c>
      <c r="N93" s="73"/>
      <c r="O93" s="89"/>
      <c r="P93" s="65"/>
    </row>
    <row r="94" spans="1:16" ht="12.75">
      <c r="A94" s="83"/>
      <c r="B94" s="41"/>
      <c r="C94" s="40"/>
      <c r="D94" s="40"/>
      <c r="E94" s="40"/>
      <c r="F94" s="40"/>
      <c r="G94" s="40"/>
      <c r="H94" s="40"/>
      <c r="I94" s="40"/>
      <c r="J94" s="40"/>
      <c r="K94" s="80"/>
      <c r="N94" s="73"/>
      <c r="O94" s="89"/>
      <c r="P94" s="65"/>
    </row>
    <row r="95" spans="1:19" ht="12.75">
      <c r="A95" s="26" t="s">
        <v>14</v>
      </c>
      <c r="B95" s="36">
        <f>+SUM(B96:B100)</f>
        <v>1344.963</v>
      </c>
      <c r="C95" s="38">
        <f>+SUM(C96:C100)</f>
        <v>0</v>
      </c>
      <c r="D95" s="38">
        <f aca="true" t="shared" si="26" ref="D95:I95">+SUM(D96:D100)</f>
        <v>0</v>
      </c>
      <c r="E95" s="38">
        <f t="shared" si="26"/>
        <v>-61</v>
      </c>
      <c r="F95" s="38">
        <f t="shared" si="26"/>
        <v>0</v>
      </c>
      <c r="G95" s="38">
        <f t="shared" si="26"/>
        <v>0</v>
      </c>
      <c r="H95" s="38">
        <f t="shared" si="26"/>
        <v>0</v>
      </c>
      <c r="I95" s="38">
        <f t="shared" si="26"/>
        <v>59</v>
      </c>
      <c r="J95" s="38">
        <f>+SUM(J96:J100)</f>
        <v>1342.963</v>
      </c>
      <c r="K95" s="79">
        <f aca="true" t="shared" si="27" ref="K95:K100">+(J95-B95)/B95</f>
        <v>-0.0014870297547218772</v>
      </c>
      <c r="N95" s="73" t="s">
        <v>237</v>
      </c>
      <c r="O95" s="87" t="s">
        <v>172</v>
      </c>
      <c r="P95" s="94">
        <v>1342469</v>
      </c>
      <c r="Q95" s="95">
        <f>P95-B95*1000</f>
        <v>-2494</v>
      </c>
      <c r="S95" s="99">
        <v>-40773</v>
      </c>
    </row>
    <row r="96" spans="1:16" ht="12.75">
      <c r="A96" s="10" t="s">
        <v>15</v>
      </c>
      <c r="B96" s="41">
        <f>'[22]Appendix2 1213 Feeder'!D15</f>
        <v>647.108</v>
      </c>
      <c r="C96" s="42">
        <f>'[22]Appendix2 1213 Feeder'!E15</f>
        <v>0</v>
      </c>
      <c r="D96" s="42">
        <f>'[22]Appendix2 1213 Feeder'!F15</f>
        <v>0</v>
      </c>
      <c r="E96" s="42">
        <f>'[22]Appendix2 1213 Feeder'!G15</f>
        <v>0</v>
      </c>
      <c r="F96" s="42">
        <f>'[22]Appendix2 1213 Feeder'!H15</f>
        <v>0</v>
      </c>
      <c r="G96" s="42">
        <f>'[22]Appendix2 1213 Feeder'!I15</f>
        <v>0</v>
      </c>
      <c r="H96" s="42">
        <f>'[22]Appendix2 1213 Feeder'!J15</f>
        <v>0</v>
      </c>
      <c r="I96" s="42">
        <v>59</v>
      </c>
      <c r="J96" s="40">
        <f aca="true" t="shared" si="28" ref="J96:J101">+B96+SUM(C96:I96)</f>
        <v>706.108</v>
      </c>
      <c r="K96" s="80">
        <f t="shared" si="27"/>
        <v>0.09117488889026253</v>
      </c>
      <c r="N96" s="12"/>
      <c r="O96" s="89"/>
      <c r="P96" s="65"/>
    </row>
    <row r="97" spans="1:16" ht="12.75">
      <c r="A97" s="10" t="s">
        <v>16</v>
      </c>
      <c r="B97" s="41">
        <f>'[22]Appendix2 1213 Feeder'!D16</f>
        <v>40.014</v>
      </c>
      <c r="C97" s="42">
        <f>'[22]Appendix2 1213 Feeder'!E16</f>
        <v>0</v>
      </c>
      <c r="D97" s="42">
        <f>'[22]Appendix2 1213 Feeder'!F16</f>
        <v>0</v>
      </c>
      <c r="E97" s="42">
        <f>'[22]Appendix2 1213 Feeder'!G16</f>
        <v>0</v>
      </c>
      <c r="F97" s="42">
        <f>'[22]Appendix2 1213 Feeder'!H16</f>
        <v>0</v>
      </c>
      <c r="G97" s="42">
        <f>'[22]Appendix2 1213 Feeder'!I16</f>
        <v>0</v>
      </c>
      <c r="H97" s="42">
        <f>'[22]Appendix2 1213 Feeder'!J16</f>
        <v>0</v>
      </c>
      <c r="I97" s="42">
        <v>0</v>
      </c>
      <c r="J97" s="40">
        <f t="shared" si="28"/>
        <v>40.014</v>
      </c>
      <c r="K97" s="80">
        <f t="shared" si="27"/>
        <v>0</v>
      </c>
      <c r="N97" s="73"/>
      <c r="O97" s="89"/>
      <c r="P97" s="65"/>
    </row>
    <row r="98" spans="1:16" ht="12.75" hidden="1">
      <c r="A98" s="10" t="s">
        <v>17</v>
      </c>
      <c r="B98" s="41">
        <f>'[22]Appendix2 1213 Feeder'!D17</f>
        <v>0</v>
      </c>
      <c r="C98" s="42">
        <f>'[22]Appendix2 1213 Feeder'!E17</f>
        <v>0</v>
      </c>
      <c r="D98" s="42">
        <f>'[22]Appendix2 1213 Feeder'!F17</f>
        <v>0</v>
      </c>
      <c r="E98" s="42">
        <f>'[22]Appendix2 1213 Feeder'!G17</f>
        <v>0</v>
      </c>
      <c r="F98" s="42">
        <f>'[22]Appendix2 1213 Feeder'!H17</f>
        <v>0</v>
      </c>
      <c r="G98" s="42">
        <f>'[22]Appendix2 1213 Feeder'!I17</f>
        <v>0</v>
      </c>
      <c r="H98" s="42">
        <f>'[22]Appendix2 1213 Feeder'!J17</f>
        <v>0</v>
      </c>
      <c r="I98" s="42"/>
      <c r="J98" s="40">
        <f t="shared" si="28"/>
        <v>0</v>
      </c>
      <c r="K98" s="80" t="e">
        <f t="shared" si="27"/>
        <v>#DIV/0!</v>
      </c>
      <c r="N98" s="73"/>
      <c r="O98" s="89"/>
      <c r="P98" s="65"/>
    </row>
    <row r="99" spans="1:16" ht="12.75">
      <c r="A99" s="10" t="s">
        <v>18</v>
      </c>
      <c r="B99" s="41">
        <f>'[22]Appendix2 1213 Feeder'!D18</f>
        <v>585.225</v>
      </c>
      <c r="C99" s="42">
        <f>'[22]Appendix2 1213 Feeder'!E18</f>
        <v>0</v>
      </c>
      <c r="D99" s="42">
        <f>'[22]Appendix2 1213 Feeder'!F18</f>
        <v>0</v>
      </c>
      <c r="E99" s="42">
        <f>'[22]Appendix2 1213 Feeder'!G18</f>
        <v>-21</v>
      </c>
      <c r="F99" s="42">
        <f>'[22]Appendix2 1213 Feeder'!H18</f>
        <v>0</v>
      </c>
      <c r="G99" s="42">
        <f>'[22]Appendix2 1213 Feeder'!I18</f>
        <v>0</v>
      </c>
      <c r="H99" s="42">
        <f>'[22]Appendix2 1213 Feeder'!J18</f>
        <v>0</v>
      </c>
      <c r="I99" s="42">
        <v>0</v>
      </c>
      <c r="J99" s="40">
        <f t="shared" si="28"/>
        <v>564.225</v>
      </c>
      <c r="K99" s="80">
        <f t="shared" si="27"/>
        <v>-0.03588363449955145</v>
      </c>
      <c r="N99" s="73"/>
      <c r="O99" s="89"/>
      <c r="P99" s="65"/>
    </row>
    <row r="100" spans="1:16" ht="12.75">
      <c r="A100" s="10" t="s">
        <v>19</v>
      </c>
      <c r="B100" s="41">
        <f>'[22]Appendix2 1213 Feeder'!D19</f>
        <v>72.616</v>
      </c>
      <c r="C100" s="42">
        <f>'[22]Appendix2 1213 Feeder'!E19</f>
        <v>0</v>
      </c>
      <c r="D100" s="42">
        <f>'[22]Appendix2 1213 Feeder'!F19</f>
        <v>0</v>
      </c>
      <c r="E100" s="42">
        <f>'[22]Appendix2 1213 Feeder'!G19</f>
        <v>-40</v>
      </c>
      <c r="F100" s="42">
        <f>'[22]Appendix2 1213 Feeder'!H19</f>
        <v>0</v>
      </c>
      <c r="G100" s="42">
        <f>'[22]Appendix2 1213 Feeder'!I19</f>
        <v>0</v>
      </c>
      <c r="H100" s="42">
        <f>'[22]Appendix2 1213 Feeder'!J19</f>
        <v>0</v>
      </c>
      <c r="I100" s="42">
        <v>0</v>
      </c>
      <c r="J100" s="40">
        <f t="shared" si="28"/>
        <v>32.616</v>
      </c>
      <c r="K100" s="80">
        <f t="shared" si="27"/>
        <v>-0.5508427894678859</v>
      </c>
      <c r="N100" s="73"/>
      <c r="O100" s="89"/>
      <c r="P100" s="65"/>
    </row>
    <row r="101" spans="1:16" ht="12.75">
      <c r="A101" s="10"/>
      <c r="B101" s="41"/>
      <c r="C101" s="42"/>
      <c r="D101" s="42"/>
      <c r="E101" s="42"/>
      <c r="F101" s="42"/>
      <c r="G101" s="42"/>
      <c r="H101" s="42"/>
      <c r="I101" s="42"/>
      <c r="J101" s="40">
        <f t="shared" si="28"/>
        <v>0</v>
      </c>
      <c r="K101" s="16"/>
      <c r="N101" s="71"/>
      <c r="O101" s="88"/>
      <c r="P101" s="64"/>
    </row>
    <row r="102" spans="1:16" ht="12.75">
      <c r="A102" s="27"/>
      <c r="B102" s="47"/>
      <c r="C102" s="48"/>
      <c r="D102" s="48"/>
      <c r="E102" s="48"/>
      <c r="F102" s="48"/>
      <c r="G102" s="48"/>
      <c r="H102" s="48"/>
      <c r="I102" s="48"/>
      <c r="J102" s="48"/>
      <c r="K102" s="16"/>
      <c r="N102" s="71"/>
      <c r="O102" s="88"/>
      <c r="P102" s="64"/>
    </row>
    <row r="103" spans="1:19" ht="12.75">
      <c r="A103" s="26" t="s">
        <v>23</v>
      </c>
      <c r="B103" s="36">
        <f aca="true" t="shared" si="29" ref="B103:I103">+SUM(B104:B109)</f>
        <v>2571.812</v>
      </c>
      <c r="C103" s="38">
        <f t="shared" si="29"/>
        <v>0</v>
      </c>
      <c r="D103" s="38">
        <f t="shared" si="29"/>
        <v>0</v>
      </c>
      <c r="E103" s="38">
        <f t="shared" si="29"/>
        <v>-33</v>
      </c>
      <c r="F103" s="38">
        <f t="shared" si="29"/>
        <v>14</v>
      </c>
      <c r="G103" s="38">
        <f t="shared" si="29"/>
        <v>-5</v>
      </c>
      <c r="H103" s="38">
        <f t="shared" si="29"/>
        <v>-53.2</v>
      </c>
      <c r="I103" s="38">
        <f t="shared" si="29"/>
        <v>0</v>
      </c>
      <c r="J103" s="38">
        <f>+SUM(J104:J109)</f>
        <v>2494.612</v>
      </c>
      <c r="K103" s="79">
        <f>+(J103-B103)/B103</f>
        <v>-0.030017746242726847</v>
      </c>
      <c r="N103" s="73" t="s">
        <v>238</v>
      </c>
      <c r="O103" s="87" t="s">
        <v>173</v>
      </c>
      <c r="P103" s="94">
        <v>2582172</v>
      </c>
      <c r="Q103" s="95">
        <f>P103-B103*1000</f>
        <v>10360</v>
      </c>
      <c r="S103" s="99">
        <v>126611</v>
      </c>
    </row>
    <row r="104" spans="1:16" ht="12.75">
      <c r="A104" s="11" t="s">
        <v>62</v>
      </c>
      <c r="B104" s="41">
        <f>'[27]Appendix2 1213 Feeder'!D15</f>
        <v>225.828</v>
      </c>
      <c r="C104" s="42">
        <f>'[27]Appendix2 1213 Feeder'!E15</f>
        <v>0</v>
      </c>
      <c r="D104" s="42">
        <f>'[27]Appendix2 1213 Feeder'!F15</f>
        <v>0</v>
      </c>
      <c r="E104" s="42">
        <f>'[27]Appendix2 1213 Feeder'!G15</f>
        <v>0</v>
      </c>
      <c r="F104" s="42">
        <f>'[27]Appendix2 1213 Feeder'!H15</f>
        <v>0</v>
      </c>
      <c r="G104" s="42">
        <f>'[27]Appendix2 1213 Feeder'!I15</f>
        <v>0</v>
      </c>
      <c r="H104" s="42">
        <f>'[27]Appendix2 1213 Feeder'!J15</f>
        <v>0</v>
      </c>
      <c r="I104" s="42">
        <v>0</v>
      </c>
      <c r="J104" s="40">
        <f aca="true" t="shared" si="30" ref="J104:J109">+B104+SUM(C104:I104)</f>
        <v>225.828</v>
      </c>
      <c r="K104" s="80">
        <f aca="true" t="shared" si="31" ref="K104:K109">+(J104-B104)/B104</f>
        <v>0</v>
      </c>
      <c r="N104" s="12"/>
      <c r="O104" s="89"/>
      <c r="P104" s="65"/>
    </row>
    <row r="105" spans="1:16" ht="12.75">
      <c r="A105" s="11" t="s">
        <v>63</v>
      </c>
      <c r="B105" s="41">
        <f>'[27]Appendix2 1213 Feeder'!D16</f>
        <v>159.248</v>
      </c>
      <c r="C105" s="42">
        <f>'[27]Appendix2 1213 Feeder'!E16</f>
        <v>0</v>
      </c>
      <c r="D105" s="42">
        <f>'[27]Appendix2 1213 Feeder'!F16</f>
        <v>0</v>
      </c>
      <c r="E105" s="42">
        <f>'[27]Appendix2 1213 Feeder'!G16</f>
        <v>0</v>
      </c>
      <c r="F105" s="42">
        <f>'[27]Appendix2 1213 Feeder'!H16</f>
        <v>0</v>
      </c>
      <c r="G105" s="42">
        <f>'[27]Appendix2 1213 Feeder'!I16</f>
        <v>0</v>
      </c>
      <c r="H105" s="42">
        <f>'[27]Appendix2 1213 Feeder'!J16</f>
        <v>0</v>
      </c>
      <c r="I105" s="42">
        <v>0</v>
      </c>
      <c r="J105" s="40">
        <f t="shared" si="30"/>
        <v>159.248</v>
      </c>
      <c r="K105" s="80">
        <f t="shared" si="31"/>
        <v>0</v>
      </c>
      <c r="N105" s="73"/>
      <c r="O105" s="89"/>
      <c r="P105" s="65"/>
    </row>
    <row r="106" spans="1:16" ht="12.75">
      <c r="A106" s="11" t="s">
        <v>64</v>
      </c>
      <c r="B106" s="41">
        <f>'[27]Appendix2 1213 Feeder'!D17</f>
        <v>766.854</v>
      </c>
      <c r="C106" s="42">
        <f>'[27]Appendix2 1213 Feeder'!E17</f>
        <v>0</v>
      </c>
      <c r="D106" s="42">
        <f>'[27]Appendix2 1213 Feeder'!F17</f>
        <v>0</v>
      </c>
      <c r="E106" s="42">
        <f>'[27]Appendix2 1213 Feeder'!G17</f>
        <v>0</v>
      </c>
      <c r="F106" s="42">
        <f>'[27]Appendix2 1213 Feeder'!H17</f>
        <v>14</v>
      </c>
      <c r="G106" s="42">
        <f>'[27]Appendix2 1213 Feeder'!I17</f>
        <v>-5</v>
      </c>
      <c r="H106" s="42">
        <f>'[27]Appendix2 1213 Feeder'!J17</f>
        <v>0</v>
      </c>
      <c r="I106" s="42">
        <v>0</v>
      </c>
      <c r="J106" s="40">
        <f t="shared" si="30"/>
        <v>775.854</v>
      </c>
      <c r="K106" s="80">
        <f t="shared" si="31"/>
        <v>0.011736262704504377</v>
      </c>
      <c r="N106" s="73"/>
      <c r="O106" s="89"/>
      <c r="P106" s="65"/>
    </row>
    <row r="107" spans="1:16" ht="12.75">
      <c r="A107" s="11" t="s">
        <v>65</v>
      </c>
      <c r="B107" s="41">
        <f>'[27]Appendix2 1213 Feeder'!D18</f>
        <v>451.242</v>
      </c>
      <c r="C107" s="42">
        <f>'[27]Appendix2 1213 Feeder'!E18</f>
        <v>0</v>
      </c>
      <c r="D107" s="42">
        <f>'[27]Appendix2 1213 Feeder'!F18</f>
        <v>0</v>
      </c>
      <c r="E107" s="42">
        <f>'[27]Appendix2 1213 Feeder'!G18</f>
        <v>-1</v>
      </c>
      <c r="F107" s="42">
        <f>'[27]Appendix2 1213 Feeder'!H18</f>
        <v>0</v>
      </c>
      <c r="G107" s="42">
        <f>'[27]Appendix2 1213 Feeder'!I18</f>
        <v>0</v>
      </c>
      <c r="H107" s="42">
        <f>'[27]Appendix2 1213 Feeder'!J18</f>
        <v>-11</v>
      </c>
      <c r="I107" s="42">
        <v>0</v>
      </c>
      <c r="J107" s="40">
        <f t="shared" si="30"/>
        <v>439.242</v>
      </c>
      <c r="K107" s="80">
        <f t="shared" si="31"/>
        <v>-0.026593269243554454</v>
      </c>
      <c r="N107" s="73"/>
      <c r="O107" s="89"/>
      <c r="P107" s="65"/>
    </row>
    <row r="108" spans="1:16" ht="12.75">
      <c r="A108" s="11" t="s">
        <v>66</v>
      </c>
      <c r="B108" s="41">
        <f>'[27]Appendix2 1213 Feeder'!D19</f>
        <v>52.728</v>
      </c>
      <c r="C108" s="42">
        <f>'[27]Appendix2 1213 Feeder'!E19</f>
        <v>0</v>
      </c>
      <c r="D108" s="42">
        <f>'[27]Appendix2 1213 Feeder'!F19</f>
        <v>0</v>
      </c>
      <c r="E108" s="42">
        <f>'[27]Appendix2 1213 Feeder'!G19</f>
        <v>0</v>
      </c>
      <c r="F108" s="42">
        <f>'[27]Appendix2 1213 Feeder'!H19</f>
        <v>0</v>
      </c>
      <c r="G108" s="42">
        <f>'[27]Appendix2 1213 Feeder'!I19</f>
        <v>0</v>
      </c>
      <c r="H108" s="42">
        <f>'[27]Appendix2 1213 Feeder'!J19</f>
        <v>0</v>
      </c>
      <c r="I108" s="42">
        <v>0</v>
      </c>
      <c r="J108" s="40">
        <f t="shared" si="30"/>
        <v>52.728</v>
      </c>
      <c r="K108" s="80">
        <f t="shared" si="31"/>
        <v>0</v>
      </c>
      <c r="N108" s="73"/>
      <c r="O108" s="89"/>
      <c r="P108" s="65"/>
    </row>
    <row r="109" spans="1:16" ht="12.75">
      <c r="A109" s="11" t="s">
        <v>67</v>
      </c>
      <c r="B109" s="41">
        <f>'[27]Appendix2 1213 Feeder'!D20</f>
        <v>915.912</v>
      </c>
      <c r="C109" s="42">
        <f>'[27]Appendix2 1213 Feeder'!E20</f>
        <v>0</v>
      </c>
      <c r="D109" s="42">
        <f>'[27]Appendix2 1213 Feeder'!F20</f>
        <v>0</v>
      </c>
      <c r="E109" s="42">
        <f>'[27]Appendix2 1213 Feeder'!G20</f>
        <v>-32</v>
      </c>
      <c r="F109" s="42">
        <f>'[27]Appendix2 1213 Feeder'!H20</f>
        <v>0</v>
      </c>
      <c r="G109" s="42">
        <f>'[27]Appendix2 1213 Feeder'!I20</f>
        <v>0</v>
      </c>
      <c r="H109" s="42">
        <f>'[27]Appendix2 1213 Feeder'!J20</f>
        <v>-42.2</v>
      </c>
      <c r="I109" s="42">
        <v>0</v>
      </c>
      <c r="J109" s="40">
        <f t="shared" si="30"/>
        <v>841.712</v>
      </c>
      <c r="K109" s="80">
        <f t="shared" si="31"/>
        <v>-0.08101214963882998</v>
      </c>
      <c r="N109" s="73"/>
      <c r="O109" s="89"/>
      <c r="P109" s="65"/>
    </row>
    <row r="110" spans="1:16" ht="12.75">
      <c r="A110" s="29"/>
      <c r="B110" s="45"/>
      <c r="C110" s="46"/>
      <c r="D110" s="46"/>
      <c r="E110" s="46"/>
      <c r="F110" s="46"/>
      <c r="G110" s="46"/>
      <c r="H110" s="46"/>
      <c r="I110" s="46"/>
      <c r="J110" s="46"/>
      <c r="K110" s="20"/>
      <c r="N110" s="71"/>
      <c r="O110" s="88"/>
      <c r="P110" s="64"/>
    </row>
    <row r="111" spans="1:19" ht="41.25" customHeight="1">
      <c r="A111" s="32" t="s">
        <v>120</v>
      </c>
      <c r="B111" s="49">
        <f aca="true" t="shared" si="32" ref="B111:I111">+B4+B27+B49+B87</f>
        <v>25529.792</v>
      </c>
      <c r="C111" s="50">
        <f t="shared" si="32"/>
        <v>248.12181699999996</v>
      </c>
      <c r="D111" s="50">
        <f t="shared" si="32"/>
        <v>582.4</v>
      </c>
      <c r="E111" s="50">
        <f t="shared" si="32"/>
        <v>-1761.1247000000003</v>
      </c>
      <c r="F111" s="50">
        <f t="shared" si="32"/>
        <v>-459</v>
      </c>
      <c r="G111" s="50">
        <f t="shared" si="32"/>
        <v>-1197.5</v>
      </c>
      <c r="H111" s="50">
        <f t="shared" si="32"/>
        <v>-290.2</v>
      </c>
      <c r="I111" s="50">
        <f t="shared" si="32"/>
        <v>1112</v>
      </c>
      <c r="J111" s="50">
        <f>+J4+J27+J49+J87</f>
        <v>23764.489117</v>
      </c>
      <c r="K111" s="81">
        <f>+(J111-B111)/B111</f>
        <v>-0.06914677890834364</v>
      </c>
      <c r="N111" s="70"/>
      <c r="O111" s="87"/>
      <c r="P111" s="98">
        <f>SUM(P6:P110)</f>
        <v>25033228</v>
      </c>
      <c r="Q111" s="98">
        <f>SUM(Q6:Q110)</f>
        <v>-496564.0000000001</v>
      </c>
      <c r="R111" s="98"/>
      <c r="S111" s="98">
        <f>SUM(S6:S110)</f>
        <v>24004182</v>
      </c>
    </row>
    <row r="112" spans="1:16" ht="12.75">
      <c r="A112" s="33"/>
      <c r="B112" s="1"/>
      <c r="C112" s="1"/>
      <c r="D112" s="1"/>
      <c r="E112" s="1"/>
      <c r="F112" s="1"/>
      <c r="G112" s="1"/>
      <c r="H112" s="1"/>
      <c r="I112" s="1"/>
      <c r="J112" s="22"/>
      <c r="K112" s="23"/>
      <c r="N112" s="74"/>
      <c r="O112" s="93"/>
      <c r="P112" s="23"/>
    </row>
    <row r="113" spans="1:10" ht="12.75">
      <c r="A113" s="33"/>
      <c r="B113" s="1"/>
      <c r="C113" s="1"/>
      <c r="D113" s="1"/>
      <c r="E113" s="1"/>
      <c r="F113" s="1"/>
      <c r="G113" s="1"/>
      <c r="H113" s="1"/>
      <c r="I113" s="1"/>
      <c r="J113" s="1"/>
    </row>
    <row r="114" spans="3:10" ht="12.75" hidden="1">
      <c r="C114" s="12">
        <v>16</v>
      </c>
      <c r="D114" s="12">
        <v>1141</v>
      </c>
      <c r="E114" s="12">
        <v>-1505.0497</v>
      </c>
      <c r="F114" s="12">
        <v>-756</v>
      </c>
      <c r="G114" s="12">
        <v>-537.74</v>
      </c>
      <c r="H114" s="12">
        <v>-340.8</v>
      </c>
      <c r="J114" s="12">
        <v>19468.081149999998</v>
      </c>
    </row>
    <row r="115" ht="12.75" hidden="1"/>
    <row r="116" ht="12.75" hidden="1"/>
    <row r="117" spans="3:10" ht="12.75" hidden="1">
      <c r="C117" s="60">
        <f>+C114-C111</f>
        <v>-232.12181699999996</v>
      </c>
      <c r="D117" s="60">
        <f aca="true" t="shared" si="33" ref="D117:J117">+D114-D111</f>
        <v>558.6</v>
      </c>
      <c r="E117" s="60">
        <f t="shared" si="33"/>
        <v>256.0750000000003</v>
      </c>
      <c r="F117" s="60">
        <f t="shared" si="33"/>
        <v>-297</v>
      </c>
      <c r="G117" s="60">
        <f t="shared" si="33"/>
        <v>659.76</v>
      </c>
      <c r="H117" s="60">
        <f t="shared" si="33"/>
        <v>-50.60000000000002</v>
      </c>
      <c r="I117" s="60"/>
      <c r="J117" s="60">
        <f t="shared" si="33"/>
        <v>-4296.407967000003</v>
      </c>
    </row>
    <row r="118" ht="12.75" hidden="1"/>
  </sheetData>
  <autoFilter ref="A3:P111"/>
  <mergeCells count="1">
    <mergeCell ref="A1:K1"/>
  </mergeCells>
  <conditionalFormatting sqref="K101:K102 K75 K85:K86 K110 N97:N103 N105:N110 K69 N72:N76 K57 N60:N70 K48 K50 K28 K26 K18 N91:N95 N15:N19 N21:N29 N31:N37 N39:N42 N44:O50 N51 N53:N58 O43 P43:P50 O51:P110 N78:N89 K88 N2:P3 K2:K3 K5 K12 N5:N6 N8:N13 Q2 O5:P42 S2">
    <cfRule type="cellIs" priority="1" dxfId="0" operator="equal" stopIfTrue="1">
      <formula>#DIV/0!</formula>
    </cfRule>
  </conditionalFormatting>
  <hyperlinks>
    <hyperlink ref="N70" r:id="rId1" display="S21 Cust Serv Budgets 12-13 Appendix A - 1st Review"/>
    <hyperlink ref="N51" r:id="rId2" display="S12 ED Budgets 12-13 Appendix A - 1st Review"/>
    <hyperlink ref="N95" r:id="rId3" display="S33 PE Budgets 12-13 Appendix A - 1st Review"/>
    <hyperlink ref="N89" r:id="rId4" display="S01 PCC 2012.13 Appendix A - 1st Review"/>
    <hyperlink ref="N76" r:id="rId5" display=" S22 City Leis Budgets 12-13 Appendix A - 1st Review"/>
    <hyperlink ref="N42" r:id="rId6" display="S03 BI 2012-13 Appendix A - 1st Review"/>
    <hyperlink ref="N37" r:id="rId7" display="S31 ICT Budgets 12-13 Appendix A - 1st Review"/>
    <hyperlink ref="N58" r:id="rId8" display="S23 Dir Serv Budgets 12-13 Appendix A - 1st Review"/>
    <hyperlink ref="N13" r:id="rId9" display="CA S14 Budgets 12-13 Appendix A - 1st Review"/>
    <hyperlink ref="N29" r:id="rId10" display="S32 Fin Budgets 12-13 Appendix A - 1st Review"/>
    <hyperlink ref="N103" r:id="rId11" display="S34 L&amp;G Budgets 12-13 Appendix A - 1st Review"/>
    <hyperlink ref="N19" r:id="rId12" display=" S13 CHD Budgets 12-13 Appendix A - 1st Review"/>
    <hyperlink ref="N6" r:id="rId13" display="CD S11 Budgets 12-13 Appendix - 1st Review"/>
  </hyperlinks>
  <printOptions/>
  <pageMargins left="0.15748031496062992" right="0.15748031496062992" top="0.5905511811023623" bottom="0.6299212598425197" header="0.31496062992125984" footer="0.1968503937007874"/>
  <pageSetup fitToHeight="5" horizontalDpi="600" verticalDpi="600" orientation="landscape" paperSize="9" scale="85" r:id="rId16"/>
  <headerFooter alignWithMargins="0">
    <oddHeader>&amp;R&amp;16Appendix 2</oddHeader>
    <oddFooter>&amp;R&amp;16&amp;P</oddFooter>
  </headerFooter>
  <rowBreaks count="3" manualBreakCount="3">
    <brk id="26" max="255" man="1"/>
    <brk id="48" max="9" man="1"/>
    <brk id="85" max="9" man="1"/>
  </rowBreaks>
  <legacyDrawing r:id="rId15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7"/>
  <sheetViews>
    <sheetView tabSelected="1" view="pageBreakPreview" zoomScale="60" zoomScaleNormal="70" workbookViewId="0" topLeftCell="A1">
      <pane xSplit="1" ySplit="3" topLeftCell="B46" activePane="bottomRight" state="frozen"/>
      <selection pane="topLeft" activeCell="AL46" sqref="AL46"/>
      <selection pane="topRight" activeCell="AL46" sqref="AL46"/>
      <selection pane="bottomLeft" activeCell="AL46" sqref="AL46"/>
      <selection pane="bottomRight" activeCell="AL46" sqref="AL46"/>
    </sheetView>
  </sheetViews>
  <sheetFormatPr defaultColWidth="9.140625" defaultRowHeight="12.75"/>
  <cols>
    <col min="1" max="1" width="33.28125" style="30" bestFit="1" customWidth="1"/>
    <col min="2" max="2" width="12.7109375" style="12" customWidth="1"/>
    <col min="3" max="3" width="14.7109375" style="12" customWidth="1"/>
    <col min="4" max="7" width="12.7109375" style="12" customWidth="1"/>
    <col min="8" max="9" width="14.140625" style="12" customWidth="1"/>
    <col min="10" max="10" width="12.7109375" style="12" customWidth="1"/>
    <col min="11" max="11" width="11.7109375" style="12" bestFit="1" customWidth="1"/>
    <col min="12" max="12" width="9.140625" style="12" customWidth="1"/>
    <col min="13" max="13" width="10.57421875" style="12" bestFit="1" customWidth="1"/>
    <col min="14" max="35" width="0" style="12" hidden="1" customWidth="1"/>
    <col min="36" max="16384" width="9.140625" style="12" customWidth="1"/>
  </cols>
  <sheetData>
    <row r="1" spans="1:11" ht="27.75">
      <c r="A1" s="158" t="s">
        <v>135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</row>
    <row r="2" spans="1:11" ht="90.75" customHeight="1">
      <c r="A2" s="32"/>
      <c r="B2" s="4" t="s">
        <v>98</v>
      </c>
      <c r="C2" s="5" t="s">
        <v>10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247</v>
      </c>
      <c r="J2" s="5" t="s">
        <v>97</v>
      </c>
      <c r="K2" s="2" t="s">
        <v>114</v>
      </c>
    </row>
    <row r="3" spans="1:11" ht="13.5" customHeight="1">
      <c r="A3" s="52"/>
      <c r="B3" s="24" t="s">
        <v>73</v>
      </c>
      <c r="C3" s="7" t="s">
        <v>73</v>
      </c>
      <c r="D3" s="7" t="s">
        <v>73</v>
      </c>
      <c r="E3" s="7" t="s">
        <v>73</v>
      </c>
      <c r="F3" s="7" t="s">
        <v>73</v>
      </c>
      <c r="G3" s="7" t="s">
        <v>73</v>
      </c>
      <c r="H3" s="7" t="s">
        <v>73</v>
      </c>
      <c r="I3" s="7" t="s">
        <v>73</v>
      </c>
      <c r="J3" s="7" t="s">
        <v>73</v>
      </c>
      <c r="K3" s="4"/>
    </row>
    <row r="4" spans="1:11" ht="12.75">
      <c r="A4" s="25" t="s">
        <v>24</v>
      </c>
      <c r="B4" s="34">
        <f aca="true" t="shared" si="0" ref="B4:I4">+B6+B13+B19</f>
        <v>4628.815000000001</v>
      </c>
      <c r="C4" s="35">
        <f t="shared" si="0"/>
        <v>0</v>
      </c>
      <c r="D4" s="35">
        <f t="shared" si="0"/>
        <v>40</v>
      </c>
      <c r="E4" s="35">
        <f t="shared" si="0"/>
        <v>-246</v>
      </c>
      <c r="F4" s="35">
        <f t="shared" si="0"/>
        <v>0</v>
      </c>
      <c r="G4" s="35">
        <f t="shared" si="0"/>
        <v>-167</v>
      </c>
      <c r="H4" s="35">
        <f t="shared" si="0"/>
        <v>-106</v>
      </c>
      <c r="I4" s="35">
        <f t="shared" si="0"/>
        <v>0</v>
      </c>
      <c r="J4" s="35">
        <f>+J6+J13+J19</f>
        <v>4149.815000000001</v>
      </c>
      <c r="K4" s="77">
        <f>+(J4-B4)/B4</f>
        <v>-0.10348220872944801</v>
      </c>
    </row>
    <row r="5" spans="1:11" ht="12.75">
      <c r="A5" s="26"/>
      <c r="B5" s="36"/>
      <c r="C5" s="37"/>
      <c r="D5" s="37"/>
      <c r="E5" s="37"/>
      <c r="F5" s="37"/>
      <c r="G5" s="37"/>
      <c r="H5" s="37"/>
      <c r="I5" s="78"/>
      <c r="J5" s="78"/>
      <c r="K5" s="16"/>
    </row>
    <row r="6" spans="1:11" ht="12.75">
      <c r="A6" s="26" t="s">
        <v>25</v>
      </c>
      <c r="B6" s="36">
        <f aca="true" t="shared" si="1" ref="B6:I6">+SUM(B7:B11)</f>
        <v>961.899</v>
      </c>
      <c r="C6" s="38">
        <f t="shared" si="1"/>
        <v>0</v>
      </c>
      <c r="D6" s="38">
        <f t="shared" si="1"/>
        <v>40</v>
      </c>
      <c r="E6" s="38">
        <f t="shared" si="1"/>
        <v>-5</v>
      </c>
      <c r="F6" s="38">
        <f t="shared" si="1"/>
        <v>0</v>
      </c>
      <c r="G6" s="38">
        <f t="shared" si="1"/>
        <v>-90</v>
      </c>
      <c r="H6" s="38">
        <f t="shared" si="1"/>
        <v>-66</v>
      </c>
      <c r="I6" s="38">
        <f t="shared" si="1"/>
        <v>0</v>
      </c>
      <c r="J6" s="38">
        <f>+SUM(J7:J11)</f>
        <v>840.899</v>
      </c>
      <c r="K6" s="79">
        <f aca="true" t="shared" si="2" ref="K6:K11">+(J6-B6)/B6</f>
        <v>-0.12579283271944353</v>
      </c>
    </row>
    <row r="7" spans="1:11" ht="12.75">
      <c r="A7" s="10" t="s">
        <v>26</v>
      </c>
      <c r="B7" s="39">
        <f>'2012-13'!J7</f>
        <v>44.425</v>
      </c>
      <c r="C7" s="40">
        <f>'[17]Appendix2 1314 Feeder'!C15</f>
        <v>0</v>
      </c>
      <c r="D7" s="40">
        <f>'[17]Appendix2 1314 Feeder'!D15</f>
        <v>0</v>
      </c>
      <c r="E7" s="40">
        <f>'[17]Appendix2 1314 Feeder'!E15</f>
        <v>0</v>
      </c>
      <c r="F7" s="40">
        <f>'[17]Appendix2 1314 Feeder'!F15</f>
        <v>0</v>
      </c>
      <c r="G7" s="40">
        <f>'[17]Appendix2 1314 Feeder'!G15</f>
        <v>0</v>
      </c>
      <c r="H7" s="40">
        <f>'[17]Appendix2 1314 Feeder'!H15</f>
        <v>-14</v>
      </c>
      <c r="I7" s="40">
        <v>0</v>
      </c>
      <c r="J7" s="40">
        <f>+B7+SUM(C7:I7)</f>
        <v>30.424999999999997</v>
      </c>
      <c r="K7" s="80">
        <f t="shared" si="2"/>
        <v>-0.3151378728193585</v>
      </c>
    </row>
    <row r="8" spans="1:11" ht="12.75">
      <c r="A8" s="10" t="s">
        <v>27</v>
      </c>
      <c r="B8" s="39">
        <f>'2012-13'!J8</f>
        <v>28.370000000000005</v>
      </c>
      <c r="C8" s="40">
        <f>'[17]Appendix2 1314 Feeder'!C16</f>
        <v>0</v>
      </c>
      <c r="D8" s="40">
        <f>'[17]Appendix2 1314 Feeder'!D16</f>
        <v>0</v>
      </c>
      <c r="E8" s="40">
        <f>'[17]Appendix2 1314 Feeder'!E16</f>
        <v>0</v>
      </c>
      <c r="F8" s="40">
        <f>'[17]Appendix2 1314 Feeder'!F16</f>
        <v>0</v>
      </c>
      <c r="G8" s="40">
        <f>'[17]Appendix2 1314 Feeder'!G16</f>
        <v>-20</v>
      </c>
      <c r="H8" s="40">
        <f>'[17]Appendix2 1314 Feeder'!H16</f>
        <v>0</v>
      </c>
      <c r="I8" s="40">
        <v>0</v>
      </c>
      <c r="J8" s="40">
        <f>+B8+SUM(C8:I8)</f>
        <v>8.370000000000005</v>
      </c>
      <c r="K8" s="80">
        <f t="shared" si="2"/>
        <v>-0.7049700387733521</v>
      </c>
    </row>
    <row r="9" spans="1:11" ht="12.75">
      <c r="A9" s="10" t="s">
        <v>110</v>
      </c>
      <c r="B9" s="39">
        <f>'2012-13'!J9</f>
        <v>392.503</v>
      </c>
      <c r="C9" s="40">
        <f>'[17]Appendix2 1314 Feeder'!C17</f>
        <v>0</v>
      </c>
      <c r="D9" s="40">
        <f>'[17]Appendix2 1314 Feeder'!D17</f>
        <v>0</v>
      </c>
      <c r="E9" s="40">
        <f>'[17]Appendix2 1314 Feeder'!E17</f>
        <v>0</v>
      </c>
      <c r="F9" s="40">
        <f>'[17]Appendix2 1314 Feeder'!F17</f>
        <v>0</v>
      </c>
      <c r="G9" s="40">
        <f>'[17]Appendix2 1314 Feeder'!G17</f>
        <v>0</v>
      </c>
      <c r="H9" s="40">
        <f>'[17]Appendix2 1314 Feeder'!H17</f>
        <v>0</v>
      </c>
      <c r="I9" s="40">
        <v>0</v>
      </c>
      <c r="J9" s="40">
        <f>+B9+SUM(C9:I9)</f>
        <v>392.503</v>
      </c>
      <c r="K9" s="80">
        <f t="shared" si="2"/>
        <v>0</v>
      </c>
    </row>
    <row r="10" spans="1:11" ht="12.75">
      <c r="A10" s="10" t="s">
        <v>28</v>
      </c>
      <c r="B10" s="39">
        <f>'2012-13'!J10</f>
        <v>-54.279</v>
      </c>
      <c r="C10" s="40">
        <f>'[17]Appendix2 1314 Feeder'!C18</f>
        <v>0</v>
      </c>
      <c r="D10" s="40">
        <f>'[17]Appendix2 1314 Feeder'!D18</f>
        <v>0</v>
      </c>
      <c r="E10" s="40">
        <f>'[17]Appendix2 1314 Feeder'!E18</f>
        <v>0</v>
      </c>
      <c r="F10" s="40">
        <f>'[17]Appendix2 1314 Feeder'!F18</f>
        <v>0</v>
      </c>
      <c r="G10" s="40">
        <f>'[17]Appendix2 1314 Feeder'!G18</f>
        <v>-15</v>
      </c>
      <c r="H10" s="40">
        <f>'[17]Appendix2 1314 Feeder'!H18</f>
        <v>0</v>
      </c>
      <c r="I10" s="40">
        <v>0</v>
      </c>
      <c r="J10" s="40">
        <f>+B10+SUM(C10:I10)</f>
        <v>-69.279</v>
      </c>
      <c r="K10" s="80">
        <f t="shared" si="2"/>
        <v>0.2763499696015032</v>
      </c>
    </row>
    <row r="11" spans="1:11" ht="12.75">
      <c r="A11" s="10" t="s">
        <v>82</v>
      </c>
      <c r="B11" s="39">
        <f>'2012-13'!J11</f>
        <v>550.88</v>
      </c>
      <c r="C11" s="40">
        <f>'[17]Appendix2 1314 Feeder'!C19</f>
        <v>0</v>
      </c>
      <c r="D11" s="40">
        <f>'[17]Appendix2 1314 Feeder'!D19</f>
        <v>40</v>
      </c>
      <c r="E11" s="40">
        <f>'[17]Appendix2 1314 Feeder'!E19</f>
        <v>-5</v>
      </c>
      <c r="F11" s="40">
        <f>'[17]Appendix2 1314 Feeder'!F19</f>
        <v>0</v>
      </c>
      <c r="G11" s="40">
        <f>'[17]Appendix2 1314 Feeder'!G19</f>
        <v>-55</v>
      </c>
      <c r="H11" s="40">
        <f>'[17]Appendix2 1314 Feeder'!H19</f>
        <v>-52</v>
      </c>
      <c r="I11" s="40">
        <v>0</v>
      </c>
      <c r="J11" s="40">
        <f>+B11+SUM(C11:I11)</f>
        <v>478.88</v>
      </c>
      <c r="K11" s="80">
        <f t="shared" si="2"/>
        <v>-0.13069997095556202</v>
      </c>
    </row>
    <row r="12" spans="1:11" ht="12.75">
      <c r="A12" s="26"/>
      <c r="B12" s="36"/>
      <c r="C12" s="37"/>
      <c r="D12" s="37"/>
      <c r="E12" s="37"/>
      <c r="F12" s="37"/>
      <c r="G12" s="37"/>
      <c r="H12" s="37"/>
      <c r="I12" s="37"/>
      <c r="J12" s="37"/>
      <c r="K12" s="16"/>
    </row>
    <row r="13" spans="1:11" ht="12.75">
      <c r="A13" s="28" t="s">
        <v>35</v>
      </c>
      <c r="B13" s="36">
        <f aca="true" t="shared" si="3" ref="B13:I13">+SUM(B14:B17)</f>
        <v>-3553.2669999999994</v>
      </c>
      <c r="C13" s="37">
        <f t="shared" si="3"/>
        <v>0</v>
      </c>
      <c r="D13" s="37">
        <f t="shared" si="3"/>
        <v>0</v>
      </c>
      <c r="E13" s="37">
        <f t="shared" si="3"/>
        <v>-108</v>
      </c>
      <c r="F13" s="37">
        <f t="shared" si="3"/>
        <v>0</v>
      </c>
      <c r="G13" s="37">
        <f t="shared" si="3"/>
        <v>-77</v>
      </c>
      <c r="H13" s="37">
        <f t="shared" si="3"/>
        <v>0</v>
      </c>
      <c r="I13" s="37">
        <f t="shared" si="3"/>
        <v>0</v>
      </c>
      <c r="J13" s="37">
        <f>+SUM(J14:J17)</f>
        <v>-3738.2669999999994</v>
      </c>
      <c r="K13" s="79">
        <f>+(J13-B13)/B13</f>
        <v>0.05206476180934336</v>
      </c>
    </row>
    <row r="14" spans="1:11" ht="12.75">
      <c r="A14" s="21" t="s">
        <v>85</v>
      </c>
      <c r="B14" s="41">
        <f>'2012-13'!J14</f>
        <v>-6357.623</v>
      </c>
      <c r="C14" s="42">
        <f>'[15]Appendix2 1314 Feeder'!C15</f>
        <v>0</v>
      </c>
      <c r="D14" s="42">
        <f>'[15]Appendix2 1314 Feeder'!D15</f>
        <v>0</v>
      </c>
      <c r="E14" s="42">
        <f>'[15]Appendix2 1314 Feeder'!E15</f>
        <v>0</v>
      </c>
      <c r="F14" s="42">
        <f>'[15]Appendix2 1314 Feeder'!F15</f>
        <v>0</v>
      </c>
      <c r="G14" s="42">
        <f>'[15]Appendix2 1314 Feeder'!G15</f>
        <v>-77</v>
      </c>
      <c r="H14" s="42">
        <f>'[15]Appendix2 1314 Feeder'!H15</f>
        <v>0</v>
      </c>
      <c r="I14" s="42">
        <v>0</v>
      </c>
      <c r="J14" s="40">
        <f>+B14+SUM(C14:I14)</f>
        <v>-6434.623</v>
      </c>
      <c r="K14" s="80">
        <f>+(J14-B14)/B14</f>
        <v>0.012111444796270557</v>
      </c>
    </row>
    <row r="15" spans="1:11" ht="12.75">
      <c r="A15" s="21" t="s">
        <v>86</v>
      </c>
      <c r="B15" s="41">
        <f>'2012-13'!J15</f>
        <v>876.4519999999999</v>
      </c>
      <c r="C15" s="42">
        <f>'[15]Appendix2 1314 Feeder'!C16</f>
        <v>0</v>
      </c>
      <c r="D15" s="42">
        <f>'[15]Appendix2 1314 Feeder'!D16</f>
        <v>0</v>
      </c>
      <c r="E15" s="42">
        <f>'[15]Appendix2 1314 Feeder'!E16</f>
        <v>0</v>
      </c>
      <c r="F15" s="42">
        <f>'[15]Appendix2 1314 Feeder'!F16</f>
        <v>0</v>
      </c>
      <c r="G15" s="42">
        <f>'[15]Appendix2 1314 Feeder'!G16</f>
        <v>0</v>
      </c>
      <c r="H15" s="42">
        <f>'[15]Appendix2 1314 Feeder'!H16</f>
        <v>0</v>
      </c>
      <c r="I15" s="42">
        <v>0</v>
      </c>
      <c r="J15" s="40">
        <f>+B15+SUM(C15:I15)</f>
        <v>876.4519999999999</v>
      </c>
      <c r="K15" s="80">
        <f>+(J15-B15)/B15</f>
        <v>0</v>
      </c>
    </row>
    <row r="16" spans="1:11" ht="12.75">
      <c r="A16" s="21" t="s">
        <v>87</v>
      </c>
      <c r="B16" s="41">
        <f>'2012-13'!J16</f>
        <v>175.982</v>
      </c>
      <c r="C16" s="42">
        <f>'[15]Appendix2 1314 Feeder'!C17</f>
        <v>0</v>
      </c>
      <c r="D16" s="42">
        <f>'[15]Appendix2 1314 Feeder'!D17</f>
        <v>0</v>
      </c>
      <c r="E16" s="42">
        <f>'[15]Appendix2 1314 Feeder'!E17</f>
        <v>-3</v>
      </c>
      <c r="F16" s="42">
        <f>'[15]Appendix2 1314 Feeder'!F17</f>
        <v>0</v>
      </c>
      <c r="G16" s="42">
        <f>'[15]Appendix2 1314 Feeder'!G17</f>
        <v>0</v>
      </c>
      <c r="H16" s="42">
        <f>'[15]Appendix2 1314 Feeder'!H17</f>
        <v>0</v>
      </c>
      <c r="I16" s="42">
        <v>0</v>
      </c>
      <c r="J16" s="40">
        <f>+B16+SUM(C16:I16)</f>
        <v>172.982</v>
      </c>
      <c r="K16" s="80">
        <f>+(J16-B16)/B16</f>
        <v>-0.017047198008887272</v>
      </c>
    </row>
    <row r="17" spans="1:11" ht="12.75">
      <c r="A17" s="21" t="s">
        <v>110</v>
      </c>
      <c r="B17" s="41">
        <f>'2012-13'!J17</f>
        <v>1751.922</v>
      </c>
      <c r="C17" s="42">
        <f>'[15]Appendix2 1314 Feeder'!C18</f>
        <v>0</v>
      </c>
      <c r="D17" s="42">
        <f>'[15]Appendix2 1314 Feeder'!D18</f>
        <v>0</v>
      </c>
      <c r="E17" s="42">
        <f>'[15]Appendix2 1314 Feeder'!E18</f>
        <v>-105</v>
      </c>
      <c r="F17" s="42">
        <f>'[15]Appendix2 1314 Feeder'!F18</f>
        <v>0</v>
      </c>
      <c r="G17" s="42">
        <f>'[15]Appendix2 1314 Feeder'!G18</f>
        <v>0</v>
      </c>
      <c r="H17" s="42">
        <f>'[15]Appendix2 1314 Feeder'!H18</f>
        <v>0</v>
      </c>
      <c r="I17" s="42">
        <v>0</v>
      </c>
      <c r="J17" s="40">
        <f>+B17+SUM(C17:I17)</f>
        <v>1646.922</v>
      </c>
      <c r="K17" s="80">
        <f>+(J17-B17)/B17</f>
        <v>-0.05993417515163346</v>
      </c>
    </row>
    <row r="18" spans="1:11" ht="12.75">
      <c r="A18" s="27"/>
      <c r="B18" s="36"/>
      <c r="C18" s="37"/>
      <c r="D18" s="37"/>
      <c r="E18" s="37"/>
      <c r="F18" s="37"/>
      <c r="G18" s="37"/>
      <c r="H18" s="37"/>
      <c r="I18" s="37"/>
      <c r="J18" s="37"/>
      <c r="K18" s="16"/>
    </row>
    <row r="19" spans="1:11" ht="12.75">
      <c r="A19" s="28" t="s">
        <v>242</v>
      </c>
      <c r="B19" s="36">
        <f aca="true" t="shared" si="4" ref="B19:I19">+SUM(B20:B25)</f>
        <v>7220.183000000001</v>
      </c>
      <c r="C19" s="37">
        <f t="shared" si="4"/>
        <v>0</v>
      </c>
      <c r="D19" s="37">
        <f t="shared" si="4"/>
        <v>0</v>
      </c>
      <c r="E19" s="37">
        <f t="shared" si="4"/>
        <v>-133</v>
      </c>
      <c r="F19" s="37">
        <f t="shared" si="4"/>
        <v>0</v>
      </c>
      <c r="G19" s="37">
        <f t="shared" si="4"/>
        <v>0</v>
      </c>
      <c r="H19" s="37">
        <f t="shared" si="4"/>
        <v>-40</v>
      </c>
      <c r="I19" s="37">
        <f t="shared" si="4"/>
        <v>0</v>
      </c>
      <c r="J19" s="37">
        <f>+SUM(J20:J25)</f>
        <v>7047.183000000001</v>
      </c>
      <c r="K19" s="79">
        <f aca="true" t="shared" si="5" ref="K19:K25">+(J19-B19)/B19</f>
        <v>-0.023960611524666338</v>
      </c>
    </row>
    <row r="20" spans="1:11" ht="12.75">
      <c r="A20" s="11" t="s">
        <v>40</v>
      </c>
      <c r="B20" s="41">
        <f>'2012-13'!J20</f>
        <v>71.947</v>
      </c>
      <c r="C20" s="42">
        <f>'[16]Appendix2 1314 Feeder'!C15</f>
        <v>0</v>
      </c>
      <c r="D20" s="42">
        <f>'[16]Appendix2 1314 Feeder'!D15</f>
        <v>0</v>
      </c>
      <c r="E20" s="42">
        <f>'[16]Appendix2 1314 Feeder'!E15</f>
        <v>0</v>
      </c>
      <c r="F20" s="42">
        <f>'[16]Appendix2 1314 Feeder'!F15</f>
        <v>0</v>
      </c>
      <c r="G20" s="42">
        <f>'[16]Appendix2 1314 Feeder'!G15</f>
        <v>0</v>
      </c>
      <c r="H20" s="42">
        <f>'[16]Appendix2 1314 Feeder'!H15</f>
        <v>0</v>
      </c>
      <c r="I20" s="42">
        <v>0</v>
      </c>
      <c r="J20" s="40">
        <f aca="true" t="shared" si="6" ref="J20:J25">+B20+SUM(C20:I20)</f>
        <v>71.947</v>
      </c>
      <c r="K20" s="80">
        <f t="shared" si="5"/>
        <v>0</v>
      </c>
    </row>
    <row r="21" spans="1:11" ht="12.75">
      <c r="A21" s="11" t="s">
        <v>142</v>
      </c>
      <c r="B21" s="41">
        <f>'2012-13'!J21</f>
        <v>1230.9650000000001</v>
      </c>
      <c r="C21" s="42">
        <f>'[16]Appendix2 1314 Feeder'!C16</f>
        <v>0</v>
      </c>
      <c r="D21" s="42">
        <f>'[16]Appendix2 1314 Feeder'!D16</f>
        <v>0</v>
      </c>
      <c r="E21" s="42">
        <f>'[16]Appendix2 1314 Feeder'!E16</f>
        <v>-20</v>
      </c>
      <c r="F21" s="42">
        <f>'[16]Appendix2 1314 Feeder'!F16</f>
        <v>0</v>
      </c>
      <c r="G21" s="42">
        <f>'[16]Appendix2 1314 Feeder'!G16</f>
        <v>0</v>
      </c>
      <c r="H21" s="42">
        <f>'[16]Appendix2 1314 Feeder'!H16</f>
        <v>-24</v>
      </c>
      <c r="I21" s="42">
        <v>0</v>
      </c>
      <c r="J21" s="40">
        <f t="shared" si="6"/>
        <v>1186.9650000000001</v>
      </c>
      <c r="K21" s="80">
        <f t="shared" si="5"/>
        <v>-0.035744314419987565</v>
      </c>
    </row>
    <row r="22" spans="1:11" ht="12.75">
      <c r="A22" s="11" t="s">
        <v>143</v>
      </c>
      <c r="B22" s="41">
        <f>'2012-13'!J22</f>
        <v>1488.759</v>
      </c>
      <c r="C22" s="42">
        <f>'[16]Appendix2 1314 Feeder'!C17</f>
        <v>0</v>
      </c>
      <c r="D22" s="42">
        <f>'[16]Appendix2 1314 Feeder'!D17</f>
        <v>0</v>
      </c>
      <c r="E22" s="42">
        <f>'[16]Appendix2 1314 Feeder'!E17</f>
        <v>0</v>
      </c>
      <c r="F22" s="42">
        <f>'[16]Appendix2 1314 Feeder'!F17</f>
        <v>0</v>
      </c>
      <c r="G22" s="42">
        <f>'[16]Appendix2 1314 Feeder'!G17</f>
        <v>0</v>
      </c>
      <c r="H22" s="42">
        <f>'[16]Appendix2 1314 Feeder'!H17</f>
        <v>0</v>
      </c>
      <c r="I22" s="42">
        <v>0</v>
      </c>
      <c r="J22" s="40">
        <f t="shared" si="6"/>
        <v>1488.759</v>
      </c>
      <c r="K22" s="80">
        <f t="shared" si="5"/>
        <v>0</v>
      </c>
    </row>
    <row r="23" spans="1:11" ht="12.75">
      <c r="A23" s="11" t="s">
        <v>144</v>
      </c>
      <c r="B23" s="41">
        <f>'2012-13'!J23</f>
        <v>526.365</v>
      </c>
      <c r="C23" s="42">
        <f>'[16]Appendix2 1314 Feeder'!C18</f>
        <v>0</v>
      </c>
      <c r="D23" s="42">
        <f>'[16]Appendix2 1314 Feeder'!D18</f>
        <v>0</v>
      </c>
      <c r="E23" s="42">
        <f>'[16]Appendix2 1314 Feeder'!E18</f>
        <v>0</v>
      </c>
      <c r="F23" s="42">
        <f>'[16]Appendix2 1314 Feeder'!F18</f>
        <v>0</v>
      </c>
      <c r="G23" s="42">
        <f>'[16]Appendix2 1314 Feeder'!G18</f>
        <v>0</v>
      </c>
      <c r="H23" s="42">
        <f>'[16]Appendix2 1314 Feeder'!H18</f>
        <v>0</v>
      </c>
      <c r="I23" s="42">
        <v>0</v>
      </c>
      <c r="J23" s="40">
        <f t="shared" si="6"/>
        <v>526.365</v>
      </c>
      <c r="K23" s="80">
        <f t="shared" si="5"/>
        <v>0</v>
      </c>
    </row>
    <row r="24" spans="1:11" ht="12.75">
      <c r="A24" s="11" t="s">
        <v>146</v>
      </c>
      <c r="B24" s="41">
        <f>'2012-13'!J24</f>
        <v>1080.251</v>
      </c>
      <c r="C24" s="42">
        <f>'[16]Appendix2 1314 Feeder'!C19</f>
        <v>0</v>
      </c>
      <c r="D24" s="42">
        <f>'[16]Appendix2 1314 Feeder'!D19</f>
        <v>0</v>
      </c>
      <c r="E24" s="42">
        <f>'[16]Appendix2 1314 Feeder'!E19</f>
        <v>0</v>
      </c>
      <c r="F24" s="42">
        <f>'[16]Appendix2 1314 Feeder'!F19</f>
        <v>0</v>
      </c>
      <c r="G24" s="42">
        <f>'[16]Appendix2 1314 Feeder'!G19</f>
        <v>0</v>
      </c>
      <c r="H24" s="42">
        <f>'[16]Appendix2 1314 Feeder'!H19</f>
        <v>-16</v>
      </c>
      <c r="I24" s="42">
        <v>0</v>
      </c>
      <c r="J24" s="40">
        <f t="shared" si="6"/>
        <v>1064.251</v>
      </c>
      <c r="K24" s="80">
        <f t="shared" si="5"/>
        <v>-0.014811372542122156</v>
      </c>
    </row>
    <row r="25" spans="1:11" ht="12.75">
      <c r="A25" s="11" t="s">
        <v>145</v>
      </c>
      <c r="B25" s="41">
        <f>'2012-13'!J25</f>
        <v>2821.896</v>
      </c>
      <c r="C25" s="42">
        <f>'[16]Appendix2 1314 Feeder'!C20</f>
        <v>0</v>
      </c>
      <c r="D25" s="42">
        <f>'[16]Appendix2 1314 Feeder'!D20</f>
        <v>0</v>
      </c>
      <c r="E25" s="42">
        <f>'[16]Appendix2 1314 Feeder'!E20</f>
        <v>-113</v>
      </c>
      <c r="F25" s="42">
        <f>'[16]Appendix2 1314 Feeder'!F20</f>
        <v>0</v>
      </c>
      <c r="G25" s="42">
        <f>'[16]Appendix2 1314 Feeder'!G20</f>
        <v>0</v>
      </c>
      <c r="H25" s="42">
        <f>'[16]Appendix2 1314 Feeder'!H20</f>
        <v>0</v>
      </c>
      <c r="I25" s="42">
        <v>0</v>
      </c>
      <c r="J25" s="40">
        <f t="shared" si="6"/>
        <v>2708.896</v>
      </c>
      <c r="K25" s="80">
        <f t="shared" si="5"/>
        <v>-0.040043998786631396</v>
      </c>
    </row>
    <row r="26" spans="1:11" ht="12.75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20"/>
    </row>
    <row r="27" spans="1:11" ht="12.75">
      <c r="A27" s="25" t="s">
        <v>36</v>
      </c>
      <c r="B27" s="34">
        <f aca="true" t="shared" si="7" ref="B27:I27">+B29+B42+B37</f>
        <v>7279.599816999999</v>
      </c>
      <c r="C27" s="35">
        <f t="shared" si="7"/>
        <v>100.66790785000002</v>
      </c>
      <c r="D27" s="35">
        <f t="shared" si="7"/>
        <v>70</v>
      </c>
      <c r="E27" s="35">
        <f t="shared" si="7"/>
        <v>-175</v>
      </c>
      <c r="F27" s="35">
        <f t="shared" si="7"/>
        <v>0</v>
      </c>
      <c r="G27" s="35">
        <f t="shared" si="7"/>
        <v>0</v>
      </c>
      <c r="H27" s="35">
        <f t="shared" si="7"/>
        <v>-20</v>
      </c>
      <c r="I27" s="35">
        <f t="shared" si="7"/>
        <v>0</v>
      </c>
      <c r="J27" s="35">
        <f>+J29+J42+J37</f>
        <v>7255.2677248499995</v>
      </c>
      <c r="K27" s="79">
        <f>+(J27-B27)/B27</f>
        <v>-0.003342504088367236</v>
      </c>
    </row>
    <row r="28" spans="1:11" ht="12.75">
      <c r="A28" s="26"/>
      <c r="B28" s="36"/>
      <c r="C28" s="37"/>
      <c r="D28" s="37"/>
      <c r="E28" s="37"/>
      <c r="F28" s="37"/>
      <c r="G28" s="37"/>
      <c r="H28" s="37"/>
      <c r="I28" s="37"/>
      <c r="J28" s="37"/>
      <c r="K28" s="16"/>
    </row>
    <row r="29" spans="1:11" ht="12.75">
      <c r="A29" s="26" t="s">
        <v>7</v>
      </c>
      <c r="B29" s="36">
        <f aca="true" t="shared" si="8" ref="B29:I29">+SUM(B30:B35)</f>
        <v>2194.9210000000003</v>
      </c>
      <c r="C29" s="38">
        <f t="shared" si="8"/>
        <v>0</v>
      </c>
      <c r="D29" s="38">
        <f t="shared" si="8"/>
        <v>0</v>
      </c>
      <c r="E29" s="38">
        <f t="shared" si="8"/>
        <v>-111</v>
      </c>
      <c r="F29" s="38">
        <f t="shared" si="8"/>
        <v>0</v>
      </c>
      <c r="G29" s="38">
        <f t="shared" si="8"/>
        <v>0</v>
      </c>
      <c r="H29" s="38">
        <f t="shared" si="8"/>
        <v>-20</v>
      </c>
      <c r="I29" s="38">
        <f t="shared" si="8"/>
        <v>0</v>
      </c>
      <c r="J29" s="38">
        <f>+SUM(J30:J35)</f>
        <v>2063.9210000000003</v>
      </c>
      <c r="K29" s="79">
        <f aca="true" t="shared" si="9" ref="K29:K35">+(J29-B29)/B29</f>
        <v>-0.059683241446958676</v>
      </c>
    </row>
    <row r="30" spans="1:11" ht="12.75">
      <c r="A30" s="10" t="s">
        <v>9</v>
      </c>
      <c r="B30" s="41">
        <f>'2012-13'!J30</f>
        <v>1283.228</v>
      </c>
      <c r="C30" s="42">
        <f>+'[23]Appendix2 1314 Feeder'!C15</f>
        <v>0</v>
      </c>
      <c r="D30" s="42">
        <f>+'[23]Appendix2 1314 Feeder'!D15</f>
        <v>0</v>
      </c>
      <c r="E30" s="42">
        <f>+'[23]Appendix2 1314 Feeder'!E15</f>
        <v>0</v>
      </c>
      <c r="F30" s="42">
        <f>+'[23]Appendix2 1314 Feeder'!F15</f>
        <v>0</v>
      </c>
      <c r="G30" s="42">
        <f>+'[23]Appendix2 1314 Feeder'!G15</f>
        <v>0</v>
      </c>
      <c r="H30" s="42">
        <f>+'[23]Appendix2 1314 Feeder'!H15</f>
        <v>0</v>
      </c>
      <c r="I30" s="42">
        <v>0</v>
      </c>
      <c r="J30" s="40">
        <f aca="true" t="shared" si="10" ref="J30:J35">+B30+SUM(C30:I30)</f>
        <v>1283.228</v>
      </c>
      <c r="K30" s="80">
        <f t="shared" si="9"/>
        <v>0</v>
      </c>
    </row>
    <row r="31" spans="1:11" ht="12.75">
      <c r="A31" s="10" t="s">
        <v>11</v>
      </c>
      <c r="B31" s="41">
        <f>'2012-13'!J31</f>
        <v>77.80099999999999</v>
      </c>
      <c r="C31" s="42">
        <f>+'[23]Appendix2 1314 Feeder'!C16</f>
        <v>0</v>
      </c>
      <c r="D31" s="42">
        <f>+'[23]Appendix2 1314 Feeder'!D16</f>
        <v>0</v>
      </c>
      <c r="E31" s="42">
        <f>+'[23]Appendix2 1314 Feeder'!E16</f>
        <v>0</v>
      </c>
      <c r="F31" s="42">
        <f>+'[23]Appendix2 1314 Feeder'!F16</f>
        <v>0</v>
      </c>
      <c r="G31" s="42">
        <f>+'[23]Appendix2 1314 Feeder'!G16</f>
        <v>0</v>
      </c>
      <c r="H31" s="42">
        <f>+'[23]Appendix2 1314 Feeder'!H16</f>
        <v>-20</v>
      </c>
      <c r="I31" s="42">
        <v>0</v>
      </c>
      <c r="J31" s="40">
        <f t="shared" si="10"/>
        <v>57.80099999999999</v>
      </c>
      <c r="K31" s="80">
        <f t="shared" si="9"/>
        <v>-0.25706610454878476</v>
      </c>
    </row>
    <row r="32" spans="1:11" ht="12.75">
      <c r="A32" s="10" t="s">
        <v>12</v>
      </c>
      <c r="B32" s="41">
        <f>'2012-13'!J32</f>
        <v>66.025</v>
      </c>
      <c r="C32" s="42">
        <f>+'[23]Appendix2 1314 Feeder'!C17</f>
        <v>0</v>
      </c>
      <c r="D32" s="42">
        <f>+'[23]Appendix2 1314 Feeder'!D17</f>
        <v>0</v>
      </c>
      <c r="E32" s="42">
        <f>+'[23]Appendix2 1314 Feeder'!E17</f>
        <v>0</v>
      </c>
      <c r="F32" s="42">
        <f>+'[23]Appendix2 1314 Feeder'!F17</f>
        <v>0</v>
      </c>
      <c r="G32" s="42">
        <f>+'[23]Appendix2 1314 Feeder'!G17</f>
        <v>0</v>
      </c>
      <c r="H32" s="42">
        <f>+'[23]Appendix2 1314 Feeder'!H17</f>
        <v>0</v>
      </c>
      <c r="I32" s="42">
        <v>0</v>
      </c>
      <c r="J32" s="40">
        <f t="shared" si="10"/>
        <v>66.025</v>
      </c>
      <c r="K32" s="80">
        <f t="shared" si="9"/>
        <v>0</v>
      </c>
    </row>
    <row r="33" spans="1:11" ht="12.75">
      <c r="A33" s="10" t="s">
        <v>8</v>
      </c>
      <c r="B33" s="41">
        <f>'2012-13'!J33</f>
        <v>393.389</v>
      </c>
      <c r="C33" s="42">
        <f>+'[23]Appendix2 1314 Feeder'!C18</f>
        <v>0</v>
      </c>
      <c r="D33" s="42">
        <f>+'[23]Appendix2 1314 Feeder'!D18</f>
        <v>0</v>
      </c>
      <c r="E33" s="42">
        <f>+'[23]Appendix2 1314 Feeder'!E18</f>
        <v>-86</v>
      </c>
      <c r="F33" s="42">
        <f>+'[23]Appendix2 1314 Feeder'!F18</f>
        <v>0</v>
      </c>
      <c r="G33" s="42">
        <f>+'[23]Appendix2 1314 Feeder'!G18</f>
        <v>0</v>
      </c>
      <c r="H33" s="42">
        <f>+'[23]Appendix2 1314 Feeder'!H18</f>
        <v>0</v>
      </c>
      <c r="I33" s="42">
        <v>0</v>
      </c>
      <c r="J33" s="40">
        <f t="shared" si="10"/>
        <v>307.389</v>
      </c>
      <c r="K33" s="80">
        <f t="shared" si="9"/>
        <v>-0.21861312848096923</v>
      </c>
    </row>
    <row r="34" spans="1:11" ht="12.75">
      <c r="A34" s="10" t="s">
        <v>13</v>
      </c>
      <c r="B34" s="41">
        <f>'2012-13'!J34</f>
        <v>65.68299999999999</v>
      </c>
      <c r="C34" s="42">
        <f>+'[23]Appendix2 1314 Feeder'!C19</f>
        <v>0</v>
      </c>
      <c r="D34" s="42">
        <f>+'[23]Appendix2 1314 Feeder'!D19</f>
        <v>0</v>
      </c>
      <c r="E34" s="42">
        <f>+'[23]Appendix2 1314 Feeder'!E19</f>
        <v>0</v>
      </c>
      <c r="F34" s="42">
        <f>+'[23]Appendix2 1314 Feeder'!F19</f>
        <v>0</v>
      </c>
      <c r="G34" s="42">
        <f>+'[23]Appendix2 1314 Feeder'!G19</f>
        <v>0</v>
      </c>
      <c r="H34" s="42">
        <f>+'[23]Appendix2 1314 Feeder'!H19</f>
        <v>0</v>
      </c>
      <c r="I34" s="42">
        <v>0</v>
      </c>
      <c r="J34" s="40">
        <f t="shared" si="10"/>
        <v>65.68299999999999</v>
      </c>
      <c r="K34" s="80">
        <f t="shared" si="9"/>
        <v>0</v>
      </c>
    </row>
    <row r="35" spans="1:11" ht="12.75">
      <c r="A35" s="10" t="s">
        <v>147</v>
      </c>
      <c r="B35" s="41">
        <f>'2012-13'!J35</f>
        <v>308.795</v>
      </c>
      <c r="C35" s="42">
        <f>+'[23]Appendix2 1314 Feeder'!C20</f>
        <v>0</v>
      </c>
      <c r="D35" s="42">
        <f>+'[23]Appendix2 1314 Feeder'!D20</f>
        <v>0</v>
      </c>
      <c r="E35" s="42">
        <f>+'[23]Appendix2 1314 Feeder'!E20</f>
        <v>-25</v>
      </c>
      <c r="F35" s="42">
        <f>+'[23]Appendix2 1314 Feeder'!F20</f>
        <v>0</v>
      </c>
      <c r="G35" s="42">
        <f>+'[23]Appendix2 1314 Feeder'!G20</f>
        <v>0</v>
      </c>
      <c r="H35" s="42">
        <f>+'[23]Appendix2 1314 Feeder'!H20</f>
        <v>0</v>
      </c>
      <c r="I35" s="42">
        <v>0</v>
      </c>
      <c r="J35" s="40">
        <f t="shared" si="10"/>
        <v>283.795</v>
      </c>
      <c r="K35" s="80">
        <f t="shared" si="9"/>
        <v>-0.08095986010136175</v>
      </c>
    </row>
    <row r="36" spans="1:11" ht="12.75">
      <c r="A36" s="10"/>
      <c r="B36" s="41"/>
      <c r="C36" s="42"/>
      <c r="D36" s="42"/>
      <c r="E36" s="42"/>
      <c r="F36" s="42"/>
      <c r="G36" s="42"/>
      <c r="H36" s="42"/>
      <c r="I36" s="42"/>
      <c r="J36" s="40"/>
      <c r="K36" s="80"/>
    </row>
    <row r="37" spans="1:11" ht="12.75">
      <c r="A37" s="26" t="s">
        <v>152</v>
      </c>
      <c r="B37" s="36">
        <f aca="true" t="shared" si="11" ref="B37:I37">+SUM(B38:B40)</f>
        <v>2999.8688169999996</v>
      </c>
      <c r="C37" s="38">
        <f t="shared" si="11"/>
        <v>100.66790785000002</v>
      </c>
      <c r="D37" s="38">
        <f t="shared" si="11"/>
        <v>60</v>
      </c>
      <c r="E37" s="38">
        <f t="shared" si="11"/>
        <v>-18</v>
      </c>
      <c r="F37" s="38">
        <f t="shared" si="11"/>
        <v>0</v>
      </c>
      <c r="G37" s="38">
        <f t="shared" si="11"/>
        <v>0</v>
      </c>
      <c r="H37" s="38">
        <f t="shared" si="11"/>
        <v>0</v>
      </c>
      <c r="I37" s="38">
        <f t="shared" si="11"/>
        <v>0</v>
      </c>
      <c r="J37" s="38">
        <f>+SUM(J38:J40)</f>
        <v>3142.5367248499997</v>
      </c>
      <c r="K37" s="79">
        <f>+(J37-B37)/B37</f>
        <v>0.04755804888584238</v>
      </c>
    </row>
    <row r="38" spans="1:11" ht="12.75">
      <c r="A38" s="11" t="s">
        <v>57</v>
      </c>
      <c r="B38" s="41">
        <f>'2012-13'!J38</f>
        <v>123.131</v>
      </c>
      <c r="C38" s="42">
        <f>'[20]Appendix2 1314 Feeder'!C15</f>
        <v>0</v>
      </c>
      <c r="D38" s="42">
        <f>'[20]Appendix2 1314 Feeder'!D15</f>
        <v>0</v>
      </c>
      <c r="E38" s="42">
        <f>'[20]Appendix2 1314 Feeder'!E15</f>
        <v>0</v>
      </c>
      <c r="F38" s="42">
        <f>'[20]Appendix2 1314 Feeder'!F15</f>
        <v>0</v>
      </c>
      <c r="G38" s="42">
        <f>'[20]Appendix2 1314 Feeder'!G15</f>
        <v>0</v>
      </c>
      <c r="H38" s="42">
        <f>'[20]Appendix2 1314 Feeder'!H15</f>
        <v>0</v>
      </c>
      <c r="I38" s="42">
        <v>0</v>
      </c>
      <c r="J38" s="40">
        <f>+B38+SUM(C38:I38)</f>
        <v>123.131</v>
      </c>
      <c r="K38" s="80">
        <f>+(J38-B38)/B38</f>
        <v>0</v>
      </c>
    </row>
    <row r="39" spans="1:11" ht="12.75">
      <c r="A39" s="11" t="s">
        <v>58</v>
      </c>
      <c r="B39" s="41">
        <f>'2012-13'!J39</f>
        <v>2772.2598169999997</v>
      </c>
      <c r="C39" s="42">
        <f>'[20]Appendix2 1314 Feeder'!C16</f>
        <v>100.66790785000002</v>
      </c>
      <c r="D39" s="42">
        <f>'[20]Appendix2 1314 Feeder'!D16</f>
        <v>60</v>
      </c>
      <c r="E39" s="42">
        <f>'[20]Appendix2 1314 Feeder'!E16</f>
        <v>-13</v>
      </c>
      <c r="F39" s="42">
        <f>'[20]Appendix2 1314 Feeder'!F16</f>
        <v>0</v>
      </c>
      <c r="G39" s="42">
        <f>'[20]Appendix2 1314 Feeder'!G16</f>
        <v>0</v>
      </c>
      <c r="H39" s="42">
        <f>'[20]Appendix2 1314 Feeder'!H16</f>
        <v>0</v>
      </c>
      <c r="I39" s="42">
        <v>0</v>
      </c>
      <c r="J39" s="40">
        <f>+B39+SUM(C39:I39)</f>
        <v>2919.92772485</v>
      </c>
      <c r="K39" s="79">
        <f>+(J39-B39)/B39</f>
        <v>0.05326625843092835</v>
      </c>
    </row>
    <row r="40" spans="1:11" ht="12.75">
      <c r="A40" s="11" t="s">
        <v>84</v>
      </c>
      <c r="B40" s="41">
        <f>'2012-13'!J40</f>
        <v>104.478</v>
      </c>
      <c r="C40" s="42">
        <f>'[20]Appendix2 1314 Feeder'!C17</f>
        <v>0</v>
      </c>
      <c r="D40" s="42">
        <f>'[20]Appendix2 1314 Feeder'!D17</f>
        <v>0</v>
      </c>
      <c r="E40" s="42">
        <f>'[20]Appendix2 1314 Feeder'!E17</f>
        <v>-5</v>
      </c>
      <c r="F40" s="42">
        <f>'[20]Appendix2 1314 Feeder'!F17</f>
        <v>0</v>
      </c>
      <c r="G40" s="42">
        <f>'[20]Appendix2 1314 Feeder'!G17</f>
        <v>0</v>
      </c>
      <c r="H40" s="42">
        <f>'[20]Appendix2 1314 Feeder'!H17</f>
        <v>0</v>
      </c>
      <c r="I40" s="42">
        <v>0</v>
      </c>
      <c r="J40" s="40">
        <f>+B40+SUM(C40:I40)</f>
        <v>99.478</v>
      </c>
      <c r="K40" s="79">
        <f>+(J40-B40)/B40</f>
        <v>-0.04785696510270105</v>
      </c>
    </row>
    <row r="41" spans="1:11" ht="12.75">
      <c r="A41" s="11"/>
      <c r="B41" s="41"/>
      <c r="C41" s="42"/>
      <c r="D41" s="42"/>
      <c r="E41" s="42"/>
      <c r="F41" s="42"/>
      <c r="G41" s="42"/>
      <c r="H41" s="42"/>
      <c r="I41" s="42"/>
      <c r="J41" s="40"/>
      <c r="K41" s="79"/>
    </row>
    <row r="42" spans="1:11" ht="12.75">
      <c r="A42" s="26" t="s">
        <v>148</v>
      </c>
      <c r="B42" s="36">
        <f aca="true" t="shared" si="12" ref="B42:I42">SUM(B43:B47)</f>
        <v>2084.81</v>
      </c>
      <c r="C42" s="37">
        <f t="shared" si="12"/>
        <v>0</v>
      </c>
      <c r="D42" s="37">
        <f t="shared" si="12"/>
        <v>10</v>
      </c>
      <c r="E42" s="37">
        <f t="shared" si="12"/>
        <v>-46</v>
      </c>
      <c r="F42" s="37">
        <f t="shared" si="12"/>
        <v>0</v>
      </c>
      <c r="G42" s="37">
        <f t="shared" si="12"/>
        <v>0</v>
      </c>
      <c r="H42" s="37">
        <f t="shared" si="12"/>
        <v>0</v>
      </c>
      <c r="I42" s="37">
        <f t="shared" si="12"/>
        <v>0</v>
      </c>
      <c r="J42" s="37">
        <f>SUM(J43:J47)</f>
        <v>2048.81</v>
      </c>
      <c r="K42" s="79">
        <f aca="true" t="shared" si="13" ref="K42:K47">+(J42-B42)/B42</f>
        <v>-0.017267760611278726</v>
      </c>
    </row>
    <row r="43" spans="1:11" ht="12.75">
      <c r="A43" s="83" t="s">
        <v>149</v>
      </c>
      <c r="B43" s="41">
        <f>'2012-13'!J43</f>
        <v>192.583</v>
      </c>
      <c r="C43" s="42">
        <f>'[19]Appendix2 1314 Feeder'!C15</f>
        <v>0</v>
      </c>
      <c r="D43" s="42">
        <f>'[19]Appendix2 1314 Feeder'!D15</f>
        <v>10</v>
      </c>
      <c r="E43" s="42">
        <f>'[19]Appendix2 1314 Feeder'!E15</f>
        <v>-46</v>
      </c>
      <c r="F43" s="42">
        <f>'[19]Appendix2 1314 Feeder'!F15</f>
        <v>0</v>
      </c>
      <c r="G43" s="42">
        <f>'[19]Appendix2 1314 Feeder'!G15</f>
        <v>0</v>
      </c>
      <c r="H43" s="42">
        <f>'[19]Appendix2 1314 Feeder'!H15</f>
        <v>0</v>
      </c>
      <c r="I43" s="42">
        <v>0</v>
      </c>
      <c r="J43" s="40">
        <f>+B43+SUM(C43:I43)</f>
        <v>156.583</v>
      </c>
      <c r="K43" s="80">
        <f t="shared" si="13"/>
        <v>-0.18693238759392056</v>
      </c>
    </row>
    <row r="44" spans="1:11" ht="12.75">
      <c r="A44" s="83" t="s">
        <v>150</v>
      </c>
      <c r="B44" s="41">
        <f>'2012-13'!J44</f>
        <v>-67.002</v>
      </c>
      <c r="C44" s="42">
        <f>'[19]Appendix2 1314 Feeder'!C16</f>
        <v>0</v>
      </c>
      <c r="D44" s="42">
        <f>'[19]Appendix2 1314 Feeder'!D16</f>
        <v>0</v>
      </c>
      <c r="E44" s="42">
        <f>'[19]Appendix2 1314 Feeder'!E16</f>
        <v>0</v>
      </c>
      <c r="F44" s="42">
        <f>'[19]Appendix2 1314 Feeder'!F16</f>
        <v>0</v>
      </c>
      <c r="G44" s="42">
        <f>'[19]Appendix2 1314 Feeder'!G16</f>
        <v>0</v>
      </c>
      <c r="H44" s="42">
        <f>'[19]Appendix2 1314 Feeder'!H16</f>
        <v>0</v>
      </c>
      <c r="I44" s="42">
        <v>0</v>
      </c>
      <c r="J44" s="40">
        <f>+B44+SUM(C44:I44)</f>
        <v>-67.002</v>
      </c>
      <c r="K44" s="80">
        <f t="shared" si="13"/>
        <v>0</v>
      </c>
    </row>
    <row r="45" spans="1:11" ht="12.75">
      <c r="A45" s="83" t="s">
        <v>151</v>
      </c>
      <c r="B45" s="41">
        <f>'2012-13'!J45</f>
        <v>1645.609</v>
      </c>
      <c r="C45" s="42">
        <f>'[19]Appendix2 1314 Feeder'!C17</f>
        <v>0</v>
      </c>
      <c r="D45" s="42">
        <f>'[19]Appendix2 1314 Feeder'!D17</f>
        <v>0</v>
      </c>
      <c r="E45" s="42">
        <f>'[19]Appendix2 1314 Feeder'!E17</f>
        <v>0</v>
      </c>
      <c r="F45" s="42">
        <f>'[19]Appendix2 1314 Feeder'!F17</f>
        <v>0</v>
      </c>
      <c r="G45" s="42">
        <f>'[19]Appendix2 1314 Feeder'!G17</f>
        <v>0</v>
      </c>
      <c r="H45" s="42">
        <f>'[19]Appendix2 1314 Feeder'!H17</f>
        <v>0</v>
      </c>
      <c r="I45" s="42">
        <v>0</v>
      </c>
      <c r="J45" s="40">
        <f>+B45+SUM(C45:I45)</f>
        <v>1645.609</v>
      </c>
      <c r="K45" s="80">
        <f t="shared" si="13"/>
        <v>0</v>
      </c>
    </row>
    <row r="46" spans="1:11" ht="12.75">
      <c r="A46" s="83" t="s">
        <v>107</v>
      </c>
      <c r="B46" s="41">
        <f>'2012-13'!J46</f>
        <v>91.179</v>
      </c>
      <c r="C46" s="42">
        <f>'[19]Appendix2 1314 Feeder'!C18</f>
        <v>0</v>
      </c>
      <c r="D46" s="42">
        <f>'[19]Appendix2 1314 Feeder'!D18</f>
        <v>0</v>
      </c>
      <c r="E46" s="42">
        <f>'[19]Appendix2 1314 Feeder'!E18</f>
        <v>0</v>
      </c>
      <c r="F46" s="42">
        <f>'[19]Appendix2 1314 Feeder'!F18</f>
        <v>0</v>
      </c>
      <c r="G46" s="42">
        <f>'[19]Appendix2 1314 Feeder'!G18</f>
        <v>0</v>
      </c>
      <c r="H46" s="42">
        <f>'[19]Appendix2 1314 Feeder'!H18</f>
        <v>0</v>
      </c>
      <c r="I46" s="42">
        <v>0</v>
      </c>
      <c r="J46" s="40">
        <f>+B46+SUM(C46:I46)</f>
        <v>91.179</v>
      </c>
      <c r="K46" s="80">
        <f t="shared" si="13"/>
        <v>0</v>
      </c>
    </row>
    <row r="47" spans="1:11" ht="12.75">
      <c r="A47" s="83" t="s">
        <v>148</v>
      </c>
      <c r="B47" s="41">
        <f>'2012-13'!J47</f>
        <v>222.441</v>
      </c>
      <c r="C47" s="42">
        <f>'[19]Appendix2 1314 Feeder'!C19</f>
        <v>0</v>
      </c>
      <c r="D47" s="42">
        <f>'[19]Appendix2 1314 Feeder'!D19</f>
        <v>0</v>
      </c>
      <c r="E47" s="42">
        <f>'[19]Appendix2 1314 Feeder'!E19</f>
        <v>0</v>
      </c>
      <c r="F47" s="42">
        <f>'[19]Appendix2 1314 Feeder'!F19</f>
        <v>0</v>
      </c>
      <c r="G47" s="42">
        <f>'[19]Appendix2 1314 Feeder'!G19</f>
        <v>0</v>
      </c>
      <c r="H47" s="42">
        <f>'[19]Appendix2 1314 Feeder'!H19</f>
        <v>0</v>
      </c>
      <c r="I47" s="42">
        <v>0</v>
      </c>
      <c r="J47" s="40">
        <f>+B47+SUM(C47:I47)</f>
        <v>222.441</v>
      </c>
      <c r="K47" s="80">
        <f t="shared" si="13"/>
        <v>0</v>
      </c>
    </row>
    <row r="48" spans="1:11" ht="12.75">
      <c r="A48" s="83"/>
      <c r="B48" s="39"/>
      <c r="C48" s="40"/>
      <c r="D48" s="40"/>
      <c r="E48" s="40"/>
      <c r="F48" s="40"/>
      <c r="G48" s="40"/>
      <c r="H48" s="40"/>
      <c r="I48" s="40"/>
      <c r="J48" s="40"/>
      <c r="K48" s="16"/>
    </row>
    <row r="49" spans="1:11" ht="12.75">
      <c r="A49" s="31" t="s">
        <v>29</v>
      </c>
      <c r="B49" s="36">
        <f aca="true" t="shared" si="14" ref="B49:I49">+B51+B58+B70+B76</f>
        <v>6840.448299999998</v>
      </c>
      <c r="C49" s="37">
        <f t="shared" si="14"/>
        <v>61</v>
      </c>
      <c r="D49" s="37">
        <f t="shared" si="14"/>
        <v>-29</v>
      </c>
      <c r="E49" s="37">
        <f t="shared" si="14"/>
        <v>-177.8676499999999</v>
      </c>
      <c r="F49" s="37">
        <f t="shared" si="14"/>
        <v>-161</v>
      </c>
      <c r="G49" s="37">
        <f t="shared" si="14"/>
        <v>-362.825</v>
      </c>
      <c r="H49" s="37">
        <f t="shared" si="14"/>
        <v>-89</v>
      </c>
      <c r="I49" s="37">
        <f t="shared" si="14"/>
        <v>-49</v>
      </c>
      <c r="J49" s="37">
        <f>+J51+J58+J70+J76</f>
        <v>6032.755649999999</v>
      </c>
      <c r="K49" s="79">
        <f>+(J49-B49)/B49</f>
        <v>-0.11807598194989637</v>
      </c>
    </row>
    <row r="50" spans="1:11" ht="12.75">
      <c r="A50" s="27"/>
      <c r="B50" s="47"/>
      <c r="C50" s="48"/>
      <c r="D50" s="48"/>
      <c r="E50" s="48"/>
      <c r="F50" s="48"/>
      <c r="G50" s="48"/>
      <c r="H50" s="48"/>
      <c r="I50" s="48"/>
      <c r="J50" s="48"/>
      <c r="K50" s="16"/>
    </row>
    <row r="51" spans="1:11" ht="12.75">
      <c r="A51" s="26" t="s">
        <v>30</v>
      </c>
      <c r="B51" s="36">
        <f aca="true" t="shared" si="15" ref="B51:I51">+SUM(B52:B56)</f>
        <v>1646.9799999999998</v>
      </c>
      <c r="C51" s="38">
        <f t="shared" si="15"/>
        <v>0</v>
      </c>
      <c r="D51" s="38">
        <f t="shared" si="15"/>
        <v>0</v>
      </c>
      <c r="E51" s="38">
        <f t="shared" si="15"/>
        <v>0</v>
      </c>
      <c r="F51" s="38">
        <f t="shared" si="15"/>
        <v>-73</v>
      </c>
      <c r="G51" s="38">
        <f t="shared" si="15"/>
        <v>-50.075</v>
      </c>
      <c r="H51" s="38">
        <f t="shared" si="15"/>
        <v>-54</v>
      </c>
      <c r="I51" s="38">
        <f t="shared" si="15"/>
        <v>-15</v>
      </c>
      <c r="J51" s="38">
        <f>+SUM(J52:J56)</f>
        <v>1454.9049999999997</v>
      </c>
      <c r="K51" s="79">
        <f aca="true" t="shared" si="16" ref="K51:K56">+(J51-B51)/B51</f>
        <v>-0.11662254550753505</v>
      </c>
    </row>
    <row r="52" spans="1:11" ht="12.75">
      <c r="A52" s="10" t="s">
        <v>31</v>
      </c>
      <c r="B52" s="41">
        <f>'2012-13'!J52</f>
        <v>653.76</v>
      </c>
      <c r="C52" s="42">
        <f>'[18]Appendix2 1314 Feeder'!C15</f>
        <v>0</v>
      </c>
      <c r="D52" s="42">
        <f>'[18]Appendix2 1314 Feeder'!D15</f>
        <v>0</v>
      </c>
      <c r="E52" s="42">
        <f>'[18]Appendix2 1314 Feeder'!E15</f>
        <v>0</v>
      </c>
      <c r="F52" s="42">
        <f>'[18]Appendix2 1314 Feeder'!F15</f>
        <v>0</v>
      </c>
      <c r="G52" s="42">
        <f>'[18]Appendix2 1314 Feeder'!G15</f>
        <v>0</v>
      </c>
      <c r="H52" s="42">
        <f>'[18]Appendix2 1314 Feeder'!H15</f>
        <v>-54</v>
      </c>
      <c r="I52" s="42">
        <v>3</v>
      </c>
      <c r="J52" s="40">
        <f>+B52+SUM(C52:I52)</f>
        <v>602.76</v>
      </c>
      <c r="K52" s="80">
        <f t="shared" si="16"/>
        <v>-0.07801027900146842</v>
      </c>
    </row>
    <row r="53" spans="1:11" ht="12.75">
      <c r="A53" s="10" t="s">
        <v>32</v>
      </c>
      <c r="B53" s="41">
        <f>'2012-13'!J53</f>
        <v>582.7719999999999</v>
      </c>
      <c r="C53" s="42">
        <f>'[18]Appendix2 1314 Feeder'!C16</f>
        <v>0</v>
      </c>
      <c r="D53" s="42">
        <f>'[18]Appendix2 1314 Feeder'!D16</f>
        <v>0</v>
      </c>
      <c r="E53" s="42">
        <f>'[18]Appendix2 1314 Feeder'!E16</f>
        <v>0</v>
      </c>
      <c r="F53" s="42">
        <f>'[18]Appendix2 1314 Feeder'!F16</f>
        <v>0</v>
      </c>
      <c r="G53" s="42">
        <f>'[18]Appendix2 1314 Feeder'!G16</f>
        <v>0</v>
      </c>
      <c r="H53" s="42">
        <f>'[18]Appendix2 1314 Feeder'!H16</f>
        <v>0</v>
      </c>
      <c r="I53" s="42">
        <v>-18</v>
      </c>
      <c r="J53" s="40">
        <f>+B53+SUM(C53:I53)</f>
        <v>564.7719999999999</v>
      </c>
      <c r="K53" s="80">
        <f t="shared" si="16"/>
        <v>-0.030886864845943187</v>
      </c>
    </row>
    <row r="54" spans="1:11" ht="12.75">
      <c r="A54" s="10" t="s">
        <v>33</v>
      </c>
      <c r="B54" s="41">
        <f>'2012-13'!J54</f>
        <v>714.838</v>
      </c>
      <c r="C54" s="42">
        <f>'[18]Appendix2 1314 Feeder'!C17</f>
        <v>0</v>
      </c>
      <c r="D54" s="42">
        <f>'[18]Appendix2 1314 Feeder'!D17</f>
        <v>0</v>
      </c>
      <c r="E54" s="42">
        <f>'[18]Appendix2 1314 Feeder'!E17</f>
        <v>0</v>
      </c>
      <c r="F54" s="42">
        <f>'[18]Appendix2 1314 Feeder'!F17</f>
        <v>0</v>
      </c>
      <c r="G54" s="42">
        <f>'[18]Appendix2 1314 Feeder'!G17</f>
        <v>-14.7</v>
      </c>
      <c r="H54" s="42">
        <f>'[18]Appendix2 1314 Feeder'!H17</f>
        <v>0</v>
      </c>
      <c r="I54" s="42">
        <v>0</v>
      </c>
      <c r="J54" s="40">
        <f>+B54+SUM(C54:I54)</f>
        <v>700.1379999999999</v>
      </c>
      <c r="K54" s="80">
        <f t="shared" si="16"/>
        <v>-0.02056409983800532</v>
      </c>
    </row>
    <row r="55" spans="1:11" ht="12.75">
      <c r="A55" s="27" t="s">
        <v>113</v>
      </c>
      <c r="B55" s="41">
        <f>'2012-13'!J55</f>
        <v>-424.60400000000004</v>
      </c>
      <c r="C55" s="42">
        <f>'[18]Appendix2 1314 Feeder'!C18</f>
        <v>0</v>
      </c>
      <c r="D55" s="42">
        <f>'[18]Appendix2 1314 Feeder'!D18</f>
        <v>0</v>
      </c>
      <c r="E55" s="42">
        <f>'[18]Appendix2 1314 Feeder'!E18</f>
        <v>0</v>
      </c>
      <c r="F55" s="42">
        <f>'[18]Appendix2 1314 Feeder'!F18</f>
        <v>-73</v>
      </c>
      <c r="G55" s="42">
        <f>'[18]Appendix2 1314 Feeder'!G18</f>
        <v>-35.375</v>
      </c>
      <c r="H55" s="42">
        <f>'[18]Appendix2 1314 Feeder'!H18</f>
        <v>0</v>
      </c>
      <c r="I55" s="42">
        <v>0</v>
      </c>
      <c r="J55" s="40">
        <f>+B55+SUM(C55:I55)</f>
        <v>-532.979</v>
      </c>
      <c r="K55" s="80">
        <f t="shared" si="16"/>
        <v>0.25523782159376734</v>
      </c>
    </row>
    <row r="56" spans="1:11" ht="12.75">
      <c r="A56" s="10" t="s">
        <v>34</v>
      </c>
      <c r="B56" s="41">
        <f>'2012-13'!J56</f>
        <v>120.214</v>
      </c>
      <c r="C56" s="42">
        <f>'[18]Appendix2 1314 Feeder'!C19</f>
        <v>0</v>
      </c>
      <c r="D56" s="42">
        <f>'[18]Appendix2 1314 Feeder'!D19</f>
        <v>0</v>
      </c>
      <c r="E56" s="42">
        <f>'[18]Appendix2 1314 Feeder'!E19</f>
        <v>0</v>
      </c>
      <c r="F56" s="42">
        <f>'[18]Appendix2 1314 Feeder'!F19</f>
        <v>0</v>
      </c>
      <c r="G56" s="42">
        <f>'[18]Appendix2 1314 Feeder'!G19</f>
        <v>0</v>
      </c>
      <c r="H56" s="42">
        <f>'[18]Appendix2 1314 Feeder'!H19</f>
        <v>0</v>
      </c>
      <c r="I56" s="42">
        <v>0</v>
      </c>
      <c r="J56" s="40">
        <f>+B56+SUM(C56:I56)</f>
        <v>120.214</v>
      </c>
      <c r="K56" s="80">
        <f t="shared" si="16"/>
        <v>0</v>
      </c>
    </row>
    <row r="57" spans="1:11" ht="12.75">
      <c r="A57" s="27"/>
      <c r="B57" s="47"/>
      <c r="C57" s="48"/>
      <c r="D57" s="48"/>
      <c r="E57" s="48"/>
      <c r="F57" s="48"/>
      <c r="G57" s="48"/>
      <c r="H57" s="48"/>
      <c r="I57" s="48"/>
      <c r="J57" s="48"/>
      <c r="K57" s="16"/>
    </row>
    <row r="58" spans="1:11" ht="12.75">
      <c r="A58" s="26" t="s">
        <v>138</v>
      </c>
      <c r="B58" s="36">
        <f aca="true" t="shared" si="17" ref="B58:I58">+SUM(B59:B68)</f>
        <v>-1135.061000000001</v>
      </c>
      <c r="C58" s="37">
        <f t="shared" si="17"/>
        <v>63</v>
      </c>
      <c r="D58" s="37">
        <f t="shared" si="17"/>
        <v>-14</v>
      </c>
      <c r="E58" s="37">
        <f t="shared" si="17"/>
        <v>-40</v>
      </c>
      <c r="F58" s="37">
        <f t="shared" si="17"/>
        <v>0</v>
      </c>
      <c r="G58" s="37">
        <f t="shared" si="17"/>
        <v>-262.75</v>
      </c>
      <c r="H58" s="37">
        <f t="shared" si="17"/>
        <v>0</v>
      </c>
      <c r="I58" s="37">
        <f t="shared" si="17"/>
        <v>0</v>
      </c>
      <c r="J58" s="37">
        <f>+SUM(J59:J68)</f>
        <v>-1388.8110000000001</v>
      </c>
      <c r="K58" s="79">
        <f aca="true" t="shared" si="18" ref="K58:K68">+(J58-B58)/B58</f>
        <v>0.22355626702000936</v>
      </c>
    </row>
    <row r="59" spans="1:11" ht="12.75">
      <c r="A59" s="84" t="s">
        <v>160</v>
      </c>
      <c r="B59" s="41">
        <f>'2012-13'!J59</f>
        <v>-1816.232</v>
      </c>
      <c r="C59" s="42">
        <f>+'[25]Appendix2 1314 Feeder'!C15</f>
        <v>35.7</v>
      </c>
      <c r="D59" s="42">
        <f>+'[25]Appendix2 1314 Feeder'!D15</f>
        <v>0</v>
      </c>
      <c r="E59" s="42">
        <f>+'[25]Appendix2 1314 Feeder'!E15</f>
        <v>0</v>
      </c>
      <c r="F59" s="42">
        <f>+'[25]Appendix2 1314 Feeder'!F15</f>
        <v>0</v>
      </c>
      <c r="G59" s="42">
        <f>+'[25]Appendix2 1314 Feeder'!G15</f>
        <v>-77</v>
      </c>
      <c r="H59" s="42">
        <f>+'[25]Appendix2 1314 Feeder'!H15</f>
        <v>0</v>
      </c>
      <c r="I59" s="42">
        <v>0</v>
      </c>
      <c r="J59" s="40">
        <f>+B59+SUM(C59:I59)</f>
        <v>-1857.532</v>
      </c>
      <c r="K59" s="80">
        <f t="shared" si="18"/>
        <v>0.022739385717243148</v>
      </c>
    </row>
    <row r="60" spans="1:11" ht="12.75">
      <c r="A60" s="84" t="s">
        <v>153</v>
      </c>
      <c r="B60" s="41">
        <f>'2012-13'!J60</f>
        <v>-4398.469</v>
      </c>
      <c r="C60" s="42">
        <f>+'[25]Appendix2 1314 Feeder'!C16</f>
        <v>0</v>
      </c>
      <c r="D60" s="42">
        <f>+'[25]Appendix2 1314 Feeder'!D16</f>
        <v>0</v>
      </c>
      <c r="E60" s="42">
        <f>+'[25]Appendix2 1314 Feeder'!E16</f>
        <v>0</v>
      </c>
      <c r="F60" s="42">
        <f>+'[25]Appendix2 1314 Feeder'!F16</f>
        <v>0</v>
      </c>
      <c r="G60" s="42">
        <f>+'[25]Appendix2 1314 Feeder'!G16</f>
        <v>-60</v>
      </c>
      <c r="H60" s="42">
        <f>+'[25]Appendix2 1314 Feeder'!H16</f>
        <v>0</v>
      </c>
      <c r="I60" s="42">
        <v>-15</v>
      </c>
      <c r="J60" s="40">
        <f aca="true" t="shared" si="19" ref="J60:J68">+B60+SUM(C60:I60)</f>
        <v>-4473.469</v>
      </c>
      <c r="K60" s="80">
        <f t="shared" si="18"/>
        <v>0.017051387653294815</v>
      </c>
    </row>
    <row r="61" spans="1:11" ht="12.75">
      <c r="A61" s="84" t="s">
        <v>154</v>
      </c>
      <c r="B61" s="41">
        <f>'2012-13'!J61</f>
        <v>2860.149</v>
      </c>
      <c r="C61" s="42">
        <f>+'[25]Appendix2 1314 Feeder'!C17</f>
        <v>0</v>
      </c>
      <c r="D61" s="42">
        <f>+'[25]Appendix2 1314 Feeder'!D17</f>
        <v>-14</v>
      </c>
      <c r="E61" s="42">
        <f>+'[25]Appendix2 1314 Feeder'!E17</f>
        <v>0</v>
      </c>
      <c r="F61" s="42">
        <f>+'[25]Appendix2 1314 Feeder'!F17</f>
        <v>0</v>
      </c>
      <c r="G61" s="42">
        <f>+'[25]Appendix2 1314 Feeder'!G17</f>
        <v>-15.75</v>
      </c>
      <c r="H61" s="42">
        <f>+'[25]Appendix2 1314 Feeder'!H17</f>
        <v>0</v>
      </c>
      <c r="I61" s="42">
        <v>27</v>
      </c>
      <c r="J61" s="40">
        <f t="shared" si="19"/>
        <v>2857.399</v>
      </c>
      <c r="K61" s="80">
        <f t="shared" si="18"/>
        <v>-0.0009614883700114924</v>
      </c>
    </row>
    <row r="62" spans="1:11" ht="12.75">
      <c r="A62" s="84" t="s">
        <v>155</v>
      </c>
      <c r="B62" s="41">
        <f>'2012-13'!J62</f>
        <v>-1102.603</v>
      </c>
      <c r="C62" s="42">
        <f>+'[25]Appendix2 1314 Feeder'!C18</f>
        <v>0</v>
      </c>
      <c r="D62" s="42">
        <f>+'[25]Appendix2 1314 Feeder'!D18</f>
        <v>0</v>
      </c>
      <c r="E62" s="42">
        <f>+'[25]Appendix2 1314 Feeder'!E18</f>
        <v>-40</v>
      </c>
      <c r="F62" s="42">
        <f>+'[25]Appendix2 1314 Feeder'!F18</f>
        <v>0</v>
      </c>
      <c r="G62" s="42">
        <f>+'[25]Appendix2 1314 Feeder'!G18</f>
        <v>-90</v>
      </c>
      <c r="H62" s="42">
        <f>+'[25]Appendix2 1314 Feeder'!H18</f>
        <v>0</v>
      </c>
      <c r="I62" s="42">
        <v>0</v>
      </c>
      <c r="J62" s="40">
        <f t="shared" si="19"/>
        <v>-1232.603</v>
      </c>
      <c r="K62" s="80">
        <f t="shared" si="18"/>
        <v>0.11790281724247076</v>
      </c>
    </row>
    <row r="63" spans="1:11" ht="12.75">
      <c r="A63" s="84" t="s">
        <v>96</v>
      </c>
      <c r="B63" s="41">
        <f>'2012-13'!J63</f>
        <v>-338.653</v>
      </c>
      <c r="C63" s="42">
        <f>+'[25]Appendix2 1314 Feeder'!C19</f>
        <v>0</v>
      </c>
      <c r="D63" s="42">
        <f>+'[25]Appendix2 1314 Feeder'!D19</f>
        <v>0</v>
      </c>
      <c r="E63" s="42">
        <f>+'[25]Appendix2 1314 Feeder'!E19</f>
        <v>0</v>
      </c>
      <c r="F63" s="42">
        <f>+'[25]Appendix2 1314 Feeder'!F19</f>
        <v>0</v>
      </c>
      <c r="G63" s="42">
        <f>+'[25]Appendix2 1314 Feeder'!G19</f>
        <v>-20</v>
      </c>
      <c r="H63" s="42">
        <f>+'[25]Appendix2 1314 Feeder'!H19</f>
        <v>0</v>
      </c>
      <c r="I63" s="42">
        <v>0</v>
      </c>
      <c r="J63" s="40">
        <f t="shared" si="19"/>
        <v>-358.653</v>
      </c>
      <c r="K63" s="80">
        <f t="shared" si="18"/>
        <v>0.05905750133617597</v>
      </c>
    </row>
    <row r="64" spans="1:11" ht="12.75">
      <c r="A64" s="84" t="s">
        <v>156</v>
      </c>
      <c r="B64" s="41">
        <f>'2012-13'!J64</f>
        <v>3847.578</v>
      </c>
      <c r="C64" s="42">
        <f>+'[25]Appendix2 1314 Feeder'!C20</f>
        <v>0</v>
      </c>
      <c r="D64" s="42">
        <f>+'[25]Appendix2 1314 Feeder'!D20</f>
        <v>0</v>
      </c>
      <c r="E64" s="42">
        <f>+'[25]Appendix2 1314 Feeder'!E20</f>
        <v>0</v>
      </c>
      <c r="F64" s="42">
        <f>+'[25]Appendix2 1314 Feeder'!F20</f>
        <v>0</v>
      </c>
      <c r="G64" s="42">
        <f>+'[25]Appendix2 1314 Feeder'!G20</f>
        <v>0</v>
      </c>
      <c r="H64" s="42">
        <f>+'[25]Appendix2 1314 Feeder'!H20</f>
        <v>0</v>
      </c>
      <c r="I64" s="42">
        <v>-12</v>
      </c>
      <c r="J64" s="40">
        <f t="shared" si="19"/>
        <v>3835.578</v>
      </c>
      <c r="K64" s="80">
        <f t="shared" si="18"/>
        <v>-0.0031188451540163707</v>
      </c>
    </row>
    <row r="65" spans="1:11" ht="12.75">
      <c r="A65" s="84" t="s">
        <v>94</v>
      </c>
      <c r="B65" s="41">
        <f>'2012-13'!J65</f>
        <v>-2108.453</v>
      </c>
      <c r="C65" s="42">
        <f>+'[25]Appendix2 1314 Feeder'!C21</f>
        <v>27.3</v>
      </c>
      <c r="D65" s="42">
        <f>+'[25]Appendix2 1314 Feeder'!D21</f>
        <v>0</v>
      </c>
      <c r="E65" s="42">
        <f>+'[25]Appendix2 1314 Feeder'!E21</f>
        <v>0</v>
      </c>
      <c r="F65" s="42">
        <f>+'[25]Appendix2 1314 Feeder'!F21</f>
        <v>0</v>
      </c>
      <c r="G65" s="42">
        <f>+'[25]Appendix2 1314 Feeder'!G21</f>
        <v>0</v>
      </c>
      <c r="H65" s="42">
        <f>+'[25]Appendix2 1314 Feeder'!H21</f>
        <v>0</v>
      </c>
      <c r="I65" s="42">
        <v>0</v>
      </c>
      <c r="J65" s="40">
        <f t="shared" si="19"/>
        <v>-2081.153</v>
      </c>
      <c r="K65" s="80">
        <f t="shared" si="18"/>
        <v>-0.012947881693355357</v>
      </c>
    </row>
    <row r="66" spans="1:11" ht="12.75" customHeight="1">
      <c r="A66" s="84" t="s">
        <v>157</v>
      </c>
      <c r="B66" s="41">
        <f>'2012-13'!J66</f>
        <v>-74.416</v>
      </c>
      <c r="C66" s="42">
        <f>+'[25]Appendix2 1314 Feeder'!C22</f>
        <v>0</v>
      </c>
      <c r="D66" s="42">
        <f>+'[25]Appendix2 1314 Feeder'!D22</f>
        <v>0</v>
      </c>
      <c r="E66" s="42">
        <f>+'[25]Appendix2 1314 Feeder'!E22</f>
        <v>0</v>
      </c>
      <c r="F66" s="42">
        <f>+'[25]Appendix2 1314 Feeder'!F22</f>
        <v>0</v>
      </c>
      <c r="G66" s="42">
        <f>+'[25]Appendix2 1314 Feeder'!G22</f>
        <v>0</v>
      </c>
      <c r="H66" s="42">
        <f>+'[25]Appendix2 1314 Feeder'!H22</f>
        <v>0</v>
      </c>
      <c r="I66" s="42">
        <v>0</v>
      </c>
      <c r="J66" s="40">
        <f t="shared" si="19"/>
        <v>-74.416</v>
      </c>
      <c r="K66" s="80">
        <f t="shared" si="18"/>
        <v>0</v>
      </c>
    </row>
    <row r="67" spans="1:11" ht="12.75" customHeight="1">
      <c r="A67" s="84" t="s">
        <v>158</v>
      </c>
      <c r="B67" s="41">
        <f>'2012-13'!J67</f>
        <v>-147.477</v>
      </c>
      <c r="C67" s="42">
        <f>+'[25]Appendix2 1314 Feeder'!C23</f>
        <v>0</v>
      </c>
      <c r="D67" s="42">
        <f>+'[25]Appendix2 1314 Feeder'!D23</f>
        <v>0</v>
      </c>
      <c r="E67" s="42">
        <f>+'[25]Appendix2 1314 Feeder'!E23</f>
        <v>0</v>
      </c>
      <c r="F67" s="42">
        <f>+'[25]Appendix2 1314 Feeder'!F23</f>
        <v>0</v>
      </c>
      <c r="G67" s="42">
        <f>+'[25]Appendix2 1314 Feeder'!G23</f>
        <v>0</v>
      </c>
      <c r="H67" s="42">
        <f>+'[25]Appendix2 1314 Feeder'!H23</f>
        <v>0</v>
      </c>
      <c r="I67" s="42">
        <v>0</v>
      </c>
      <c r="J67" s="40">
        <f t="shared" si="19"/>
        <v>-147.477</v>
      </c>
      <c r="K67" s="80">
        <f t="shared" si="18"/>
        <v>0</v>
      </c>
    </row>
    <row r="68" spans="1:11" ht="12.75" customHeight="1">
      <c r="A68" s="84" t="s">
        <v>159</v>
      </c>
      <c r="B68" s="41">
        <f>'2012-13'!J68</f>
        <v>2143.515</v>
      </c>
      <c r="C68" s="42">
        <f>+'[25]Appendix2 1314 Feeder'!C24</f>
        <v>0</v>
      </c>
      <c r="D68" s="42">
        <f>+'[25]Appendix2 1314 Feeder'!D24</f>
        <v>0</v>
      </c>
      <c r="E68" s="42">
        <f>+'[25]Appendix2 1314 Feeder'!E24</f>
        <v>0</v>
      </c>
      <c r="F68" s="42">
        <f>+'[25]Appendix2 1314 Feeder'!F24</f>
        <v>0</v>
      </c>
      <c r="G68" s="42">
        <f>+'[25]Appendix2 1314 Feeder'!G24</f>
        <v>0</v>
      </c>
      <c r="H68" s="42">
        <f>+'[25]Appendix2 1314 Feeder'!H24</f>
        <v>0</v>
      </c>
      <c r="I68" s="42">
        <v>0</v>
      </c>
      <c r="J68" s="40">
        <f t="shared" si="19"/>
        <v>2143.515</v>
      </c>
      <c r="K68" s="80">
        <f t="shared" si="18"/>
        <v>0</v>
      </c>
    </row>
    <row r="69" spans="1:11" ht="12.75">
      <c r="A69" s="27"/>
      <c r="B69" s="41"/>
      <c r="C69" s="42"/>
      <c r="D69" s="42"/>
      <c r="E69" s="42"/>
      <c r="F69" s="42"/>
      <c r="G69" s="42"/>
      <c r="H69" s="42"/>
      <c r="I69" s="42"/>
      <c r="J69" s="42"/>
      <c r="K69" s="76"/>
    </row>
    <row r="70" spans="1:11" ht="12.75">
      <c r="A70" s="26" t="s">
        <v>21</v>
      </c>
      <c r="B70" s="36">
        <f aca="true" t="shared" si="20" ref="B70:I70">+SUM(B71:B74)</f>
        <v>2919.01</v>
      </c>
      <c r="C70" s="38">
        <f t="shared" si="20"/>
        <v>0</v>
      </c>
      <c r="D70" s="38">
        <f t="shared" si="20"/>
        <v>-15</v>
      </c>
      <c r="E70" s="38">
        <f t="shared" si="20"/>
        <v>-81</v>
      </c>
      <c r="F70" s="38">
        <f t="shared" si="20"/>
        <v>-88</v>
      </c>
      <c r="G70" s="38">
        <f t="shared" si="20"/>
        <v>-13</v>
      </c>
      <c r="H70" s="38">
        <f t="shared" si="20"/>
        <v>0</v>
      </c>
      <c r="I70" s="38">
        <f t="shared" si="20"/>
        <v>0</v>
      </c>
      <c r="J70" s="38">
        <f>+SUM(J71:J74)</f>
        <v>2722.01</v>
      </c>
      <c r="K70" s="79">
        <f>+(J70-B70)/B70</f>
        <v>-0.06748863484537565</v>
      </c>
    </row>
    <row r="71" spans="1:11" ht="12.75">
      <c r="A71" s="11" t="s">
        <v>21</v>
      </c>
      <c r="B71" s="41">
        <f>'2012-13'!J71</f>
        <v>2110.893</v>
      </c>
      <c r="C71" s="42">
        <f>'[21]Appendix2 1314 Feeder'!C15</f>
        <v>0</v>
      </c>
      <c r="D71" s="42">
        <f>'[21]Appendix2 1314 Feeder'!D15</f>
        <v>-40</v>
      </c>
      <c r="E71" s="42">
        <f>'[21]Appendix2 1314 Feeder'!E15</f>
        <v>-81</v>
      </c>
      <c r="F71" s="42">
        <f>'[21]Appendix2 1314 Feeder'!F15</f>
        <v>-30</v>
      </c>
      <c r="G71" s="42">
        <f>'[21]Appendix2 1314 Feeder'!G15</f>
        <v>0</v>
      </c>
      <c r="H71" s="42">
        <f>'[21]Appendix2 1314 Feeder'!H15</f>
        <v>0</v>
      </c>
      <c r="I71" s="42">
        <v>0</v>
      </c>
      <c r="J71" s="40">
        <f>+B71+SUM(C71:I71)</f>
        <v>1959.893</v>
      </c>
      <c r="K71" s="80">
        <f>+(J71-B71)/B71</f>
        <v>-0.07153370635081929</v>
      </c>
    </row>
    <row r="72" spans="1:11" ht="12.75">
      <c r="A72" s="11" t="s">
        <v>69</v>
      </c>
      <c r="B72" s="41">
        <f>'2012-13'!J72</f>
        <v>228.722</v>
      </c>
      <c r="C72" s="42">
        <f>'[21]Appendix2 1314 Feeder'!C16</f>
        <v>0</v>
      </c>
      <c r="D72" s="42">
        <f>'[21]Appendix2 1314 Feeder'!D16</f>
        <v>0</v>
      </c>
      <c r="E72" s="42">
        <f>'[21]Appendix2 1314 Feeder'!E16</f>
        <v>0</v>
      </c>
      <c r="F72" s="42">
        <f>'[21]Appendix2 1314 Feeder'!F16</f>
        <v>0</v>
      </c>
      <c r="G72" s="42">
        <f>'[21]Appendix2 1314 Feeder'!G16</f>
        <v>-13</v>
      </c>
      <c r="H72" s="42">
        <f>'[21]Appendix2 1314 Feeder'!H16</f>
        <v>0</v>
      </c>
      <c r="I72" s="42">
        <v>0</v>
      </c>
      <c r="J72" s="40">
        <f>+B72+SUM(C72:I72)</f>
        <v>215.722</v>
      </c>
      <c r="K72" s="80">
        <f>+(J72-B72)/B72</f>
        <v>-0.05683755825849721</v>
      </c>
    </row>
    <row r="73" spans="1:11" ht="12.75">
      <c r="A73" s="11" t="s">
        <v>70</v>
      </c>
      <c r="B73" s="41">
        <f>'2012-13'!J73</f>
        <v>572.219</v>
      </c>
      <c r="C73" s="42">
        <f>'[21]Appendix2 1314 Feeder'!C17</f>
        <v>0</v>
      </c>
      <c r="D73" s="42">
        <f>'[21]Appendix2 1314 Feeder'!D17</f>
        <v>25</v>
      </c>
      <c r="E73" s="42">
        <f>'[21]Appendix2 1314 Feeder'!E17</f>
        <v>0</v>
      </c>
      <c r="F73" s="42">
        <f>'[21]Appendix2 1314 Feeder'!F17</f>
        <v>-58</v>
      </c>
      <c r="G73" s="42">
        <f>'[21]Appendix2 1314 Feeder'!G17</f>
        <v>0</v>
      </c>
      <c r="H73" s="42">
        <f>'[21]Appendix2 1314 Feeder'!H17</f>
        <v>0</v>
      </c>
      <c r="I73" s="42">
        <v>0</v>
      </c>
      <c r="J73" s="40">
        <f>+B73+SUM(C73:I73)</f>
        <v>539.219</v>
      </c>
      <c r="K73" s="80">
        <f>+(J73-B73)/B73</f>
        <v>-0.05767022765759263</v>
      </c>
    </row>
    <row r="74" spans="1:11" ht="12.75">
      <c r="A74" s="11" t="s">
        <v>71</v>
      </c>
      <c r="B74" s="41">
        <f>'2012-13'!J74</f>
        <v>7.176</v>
      </c>
      <c r="C74" s="42">
        <f>'[21]Appendix2 1314 Feeder'!C18</f>
        <v>0</v>
      </c>
      <c r="D74" s="42">
        <f>'[21]Appendix2 1314 Feeder'!D18</f>
        <v>0</v>
      </c>
      <c r="E74" s="42">
        <f>'[21]Appendix2 1314 Feeder'!E18</f>
        <v>0</v>
      </c>
      <c r="F74" s="42">
        <f>'[21]Appendix2 1314 Feeder'!F18</f>
        <v>0</v>
      </c>
      <c r="G74" s="42">
        <f>'[21]Appendix2 1314 Feeder'!G18</f>
        <v>0</v>
      </c>
      <c r="H74" s="42">
        <f>'[21]Appendix2 1314 Feeder'!H18</f>
        <v>0</v>
      </c>
      <c r="I74" s="42">
        <v>0</v>
      </c>
      <c r="J74" s="40">
        <f>+B74+SUM(C74:I74)</f>
        <v>7.176</v>
      </c>
      <c r="K74" s="80">
        <f>+(J74-B74)/B74</f>
        <v>0</v>
      </c>
    </row>
    <row r="75" spans="1:11" ht="12.75">
      <c r="A75" s="27"/>
      <c r="B75" s="47"/>
      <c r="C75" s="48"/>
      <c r="D75" s="48"/>
      <c r="E75" s="48"/>
      <c r="F75" s="48"/>
      <c r="G75" s="48"/>
      <c r="H75" s="42"/>
      <c r="I75" s="42"/>
      <c r="J75" s="48"/>
      <c r="K75" s="16"/>
    </row>
    <row r="76" spans="1:11" ht="12.75">
      <c r="A76" s="28" t="s">
        <v>38</v>
      </c>
      <c r="B76" s="36">
        <f aca="true" t="shared" si="21" ref="B76:I76">+SUM(B77:B84)</f>
        <v>3409.519299999999</v>
      </c>
      <c r="C76" s="38">
        <f t="shared" si="21"/>
        <v>-2</v>
      </c>
      <c r="D76" s="38">
        <f t="shared" si="21"/>
        <v>0</v>
      </c>
      <c r="E76" s="38">
        <f t="shared" si="21"/>
        <v>-56.867649999999905</v>
      </c>
      <c r="F76" s="38">
        <f t="shared" si="21"/>
        <v>0</v>
      </c>
      <c r="G76" s="38">
        <f t="shared" si="21"/>
        <v>-37</v>
      </c>
      <c r="H76" s="38">
        <f t="shared" si="21"/>
        <v>-35</v>
      </c>
      <c r="I76" s="38">
        <f t="shared" si="21"/>
        <v>-34</v>
      </c>
      <c r="J76" s="38">
        <f>+SUM(J77:J84)</f>
        <v>3244.6516499999993</v>
      </c>
      <c r="K76" s="79">
        <f aca="true" t="shared" si="22" ref="K76:K84">+(J76-B76)/B76</f>
        <v>-0.04835510096687229</v>
      </c>
    </row>
    <row r="77" spans="1:11" ht="12.75">
      <c r="A77" s="21" t="s">
        <v>74</v>
      </c>
      <c r="B77" s="41">
        <f>'2012-13'!J77</f>
        <v>1078.4352999999996</v>
      </c>
      <c r="C77" s="42">
        <f>'[26]Appendix2 Feeder 1314'!C17</f>
        <v>-2</v>
      </c>
      <c r="D77" s="42">
        <f>'[26]Appendix2 Feeder 1314'!D17</f>
        <v>0</v>
      </c>
      <c r="E77" s="42">
        <f>'[26]Appendix2 Feeder 1314'!E17</f>
        <v>-49.867649999999905</v>
      </c>
      <c r="F77" s="42">
        <f>'[26]Appendix2 Feeder 1314'!F17</f>
        <v>0</v>
      </c>
      <c r="G77" s="42">
        <f>'[26]Appendix2 Feeder 1314'!G17</f>
        <v>0</v>
      </c>
      <c r="H77" s="42">
        <f>'[26]Appendix2 Feeder 1314'!H17</f>
        <v>0</v>
      </c>
      <c r="I77" s="42">
        <v>0</v>
      </c>
      <c r="J77" s="40">
        <f>+B77+SUM(C77:I77)</f>
        <v>1026.5676499999997</v>
      </c>
      <c r="K77" s="80">
        <f t="shared" si="22"/>
        <v>-0.048095282118454326</v>
      </c>
    </row>
    <row r="78" spans="1:11" ht="12.75">
      <c r="A78" s="21" t="s">
        <v>137</v>
      </c>
      <c r="B78" s="41">
        <f>'2012-13'!J78</f>
        <v>6.856</v>
      </c>
      <c r="C78" s="42">
        <f>'[26]Appendix2 Feeder 1314'!C18</f>
        <v>0</v>
      </c>
      <c r="D78" s="42">
        <f>'[26]Appendix2 Feeder 1314'!D18</f>
        <v>0</v>
      </c>
      <c r="E78" s="42">
        <f>'[26]Appendix2 Feeder 1314'!E18</f>
        <v>0</v>
      </c>
      <c r="F78" s="42">
        <f>'[26]Appendix2 Feeder 1314'!F18</f>
        <v>0</v>
      </c>
      <c r="G78" s="42">
        <f>'[26]Appendix2 Feeder 1314'!G18</f>
        <v>0</v>
      </c>
      <c r="H78" s="42">
        <f>'[26]Appendix2 Feeder 1314'!H18</f>
        <v>0</v>
      </c>
      <c r="I78" s="42">
        <v>0</v>
      </c>
      <c r="J78" s="40">
        <f aca="true" t="shared" si="23" ref="J78:J84">+B78+SUM(C78:I78)</f>
        <v>6.856</v>
      </c>
      <c r="K78" s="80">
        <f t="shared" si="22"/>
        <v>0</v>
      </c>
    </row>
    <row r="79" spans="1:11" ht="12.75">
      <c r="A79" s="21" t="s">
        <v>75</v>
      </c>
      <c r="B79" s="41">
        <f>'2012-13'!J79</f>
        <v>95.243</v>
      </c>
      <c r="C79" s="42">
        <f>'[26]Appendix2 Feeder 1314'!C19</f>
        <v>0</v>
      </c>
      <c r="D79" s="42">
        <f>'[26]Appendix2 Feeder 1314'!D19</f>
        <v>0</v>
      </c>
      <c r="E79" s="42">
        <f>'[26]Appendix2 Feeder 1314'!E19</f>
        <v>0</v>
      </c>
      <c r="F79" s="42">
        <f>'[26]Appendix2 Feeder 1314'!F19</f>
        <v>0</v>
      </c>
      <c r="G79" s="42">
        <f>'[26]Appendix2 Feeder 1314'!G19</f>
        <v>-1</v>
      </c>
      <c r="H79" s="42">
        <f>'[26]Appendix2 Feeder 1314'!H19</f>
        <v>0</v>
      </c>
      <c r="I79" s="42">
        <v>0</v>
      </c>
      <c r="J79" s="40">
        <f t="shared" si="23"/>
        <v>94.243</v>
      </c>
      <c r="K79" s="80">
        <f t="shared" si="22"/>
        <v>-0.01049945927784719</v>
      </c>
    </row>
    <row r="80" spans="1:11" ht="12.75">
      <c r="A80" s="21" t="s">
        <v>76</v>
      </c>
      <c r="B80" s="41">
        <f>'2012-13'!J80</f>
        <v>-10.853</v>
      </c>
      <c r="C80" s="42">
        <f>'[26]Appendix2 Feeder 1314'!C20</f>
        <v>0</v>
      </c>
      <c r="D80" s="42">
        <f>'[26]Appendix2 Feeder 1314'!D20</f>
        <v>0</v>
      </c>
      <c r="E80" s="42">
        <f>'[26]Appendix2 Feeder 1314'!E20</f>
        <v>0</v>
      </c>
      <c r="F80" s="42">
        <f>'[26]Appendix2 Feeder 1314'!F20</f>
        <v>0</v>
      </c>
      <c r="G80" s="42">
        <f>'[26]Appendix2 Feeder 1314'!G20</f>
        <v>0</v>
      </c>
      <c r="H80" s="42">
        <f>'[26]Appendix2 Feeder 1314'!H20</f>
        <v>0</v>
      </c>
      <c r="I80" s="42">
        <v>0</v>
      </c>
      <c r="J80" s="40">
        <f t="shared" si="23"/>
        <v>-10.853</v>
      </c>
      <c r="K80" s="80">
        <f t="shared" si="22"/>
        <v>0</v>
      </c>
    </row>
    <row r="81" spans="1:11" ht="12.75">
      <c r="A81" s="21" t="s">
        <v>77</v>
      </c>
      <c r="B81" s="41">
        <f>'2012-13'!J81</f>
        <v>23.65</v>
      </c>
      <c r="C81" s="42">
        <f>'[26]Appendix2 Feeder 1314'!C21</f>
        <v>0</v>
      </c>
      <c r="D81" s="42">
        <f>'[26]Appendix2 Feeder 1314'!D21</f>
        <v>0</v>
      </c>
      <c r="E81" s="42">
        <f>'[26]Appendix2 Feeder 1314'!E21</f>
        <v>0</v>
      </c>
      <c r="F81" s="42">
        <f>'[26]Appendix2 Feeder 1314'!F21</f>
        <v>0</v>
      </c>
      <c r="G81" s="42">
        <f>'[26]Appendix2 Feeder 1314'!G21</f>
        <v>0</v>
      </c>
      <c r="H81" s="42">
        <f>'[26]Appendix2 Feeder 1314'!H21</f>
        <v>-5</v>
      </c>
      <c r="I81" s="42">
        <v>0</v>
      </c>
      <c r="J81" s="40">
        <f t="shared" si="23"/>
        <v>18.65</v>
      </c>
      <c r="K81" s="80">
        <f t="shared" si="22"/>
        <v>-0.21141649048625794</v>
      </c>
    </row>
    <row r="82" spans="1:11" ht="12.75">
      <c r="A82" s="21" t="s">
        <v>78</v>
      </c>
      <c r="B82" s="41">
        <f>'2012-13'!J82</f>
        <v>132.888</v>
      </c>
      <c r="C82" s="42">
        <f>'[26]Appendix2 Feeder 1314'!C22</f>
        <v>0</v>
      </c>
      <c r="D82" s="42">
        <f>'[26]Appendix2 Feeder 1314'!D22</f>
        <v>0</v>
      </c>
      <c r="E82" s="42">
        <f>'[26]Appendix2 Feeder 1314'!E22</f>
        <v>0</v>
      </c>
      <c r="F82" s="42">
        <f>'[26]Appendix2 Feeder 1314'!F22</f>
        <v>0</v>
      </c>
      <c r="G82" s="42">
        <f>'[26]Appendix2 Feeder 1314'!G22</f>
        <v>0</v>
      </c>
      <c r="H82" s="42">
        <f>'[26]Appendix2 Feeder 1314'!H22</f>
        <v>0</v>
      </c>
      <c r="I82" s="42">
        <v>0</v>
      </c>
      <c r="J82" s="40">
        <f t="shared" si="23"/>
        <v>132.888</v>
      </c>
      <c r="K82" s="80">
        <f t="shared" si="22"/>
        <v>0</v>
      </c>
    </row>
    <row r="83" spans="1:11" ht="12.75">
      <c r="A83" s="21" t="s">
        <v>79</v>
      </c>
      <c r="B83" s="41">
        <f>'2012-13'!J83</f>
        <v>2030.493</v>
      </c>
      <c r="C83" s="42">
        <f>'[26]Appendix2 Feeder 1314'!C23</f>
        <v>0</v>
      </c>
      <c r="D83" s="42">
        <f>'[26]Appendix2 Feeder 1314'!D23</f>
        <v>0</v>
      </c>
      <c r="E83" s="42">
        <f>'[26]Appendix2 Feeder 1314'!E23</f>
        <v>-7</v>
      </c>
      <c r="F83" s="42">
        <f>'[26]Appendix2 Feeder 1314'!F23</f>
        <v>0</v>
      </c>
      <c r="G83" s="42">
        <f>'[26]Appendix2 Feeder 1314'!G23</f>
        <v>-36</v>
      </c>
      <c r="H83" s="42">
        <f>'[26]Appendix2 Feeder 1314'!H23</f>
        <v>-30</v>
      </c>
      <c r="I83" s="42">
        <v>-34</v>
      </c>
      <c r="J83" s="40">
        <f t="shared" si="23"/>
        <v>1923.493</v>
      </c>
      <c r="K83" s="80">
        <f t="shared" si="22"/>
        <v>-0.05269656186945732</v>
      </c>
    </row>
    <row r="84" spans="1:11" ht="12.75">
      <c r="A84" s="21" t="s">
        <v>80</v>
      </c>
      <c r="B84" s="41">
        <f>'2012-13'!J84</f>
        <v>52.807</v>
      </c>
      <c r="C84" s="42">
        <f>'[26]Appendix2 Feeder 1314'!C24</f>
        <v>0</v>
      </c>
      <c r="D84" s="42">
        <f>'[26]Appendix2 Feeder 1314'!D24</f>
        <v>0</v>
      </c>
      <c r="E84" s="42">
        <f>'[26]Appendix2 Feeder 1314'!E24</f>
        <v>0</v>
      </c>
      <c r="F84" s="42">
        <f>'[26]Appendix2 Feeder 1314'!F24</f>
        <v>0</v>
      </c>
      <c r="G84" s="42">
        <f>'[26]Appendix2 Feeder 1314'!G24</f>
        <v>0</v>
      </c>
      <c r="H84" s="42">
        <f>'[26]Appendix2 Feeder 1314'!H24</f>
        <v>0</v>
      </c>
      <c r="I84" s="42">
        <v>0</v>
      </c>
      <c r="J84" s="40">
        <f t="shared" si="23"/>
        <v>52.807</v>
      </c>
      <c r="K84" s="80">
        <f t="shared" si="22"/>
        <v>0</v>
      </c>
    </row>
    <row r="85" spans="1:11" ht="12.75">
      <c r="A85" s="28"/>
      <c r="B85" s="47"/>
      <c r="C85" s="48"/>
      <c r="D85" s="48"/>
      <c r="E85" s="48"/>
      <c r="F85" s="48"/>
      <c r="G85" s="42"/>
      <c r="H85" s="42"/>
      <c r="I85" s="42"/>
      <c r="J85" s="48"/>
      <c r="K85" s="16"/>
    </row>
    <row r="86" spans="1:11" ht="12.75">
      <c r="A86" s="27"/>
      <c r="B86" s="47"/>
      <c r="C86" s="100"/>
      <c r="D86" s="100"/>
      <c r="E86" s="100"/>
      <c r="F86" s="100"/>
      <c r="G86" s="100"/>
      <c r="H86" s="100"/>
      <c r="I86" s="100"/>
      <c r="J86" s="100"/>
      <c r="K86" s="16"/>
    </row>
    <row r="87" spans="1:11" ht="12.75">
      <c r="A87" s="57" t="s">
        <v>39</v>
      </c>
      <c r="B87" s="36">
        <f aca="true" t="shared" si="24" ref="B87:I87">B89+B95+B103</f>
        <v>5015.626</v>
      </c>
      <c r="C87" s="37">
        <f t="shared" si="24"/>
        <v>0</v>
      </c>
      <c r="D87" s="37">
        <f t="shared" si="24"/>
        <v>-77.8</v>
      </c>
      <c r="E87" s="37">
        <f t="shared" si="24"/>
        <v>-37.2</v>
      </c>
      <c r="F87" s="37">
        <f t="shared" si="24"/>
        <v>-44</v>
      </c>
      <c r="G87" s="37">
        <f t="shared" si="24"/>
        <v>-126</v>
      </c>
      <c r="H87" s="37">
        <f t="shared" si="24"/>
        <v>-26</v>
      </c>
      <c r="I87" s="37">
        <f t="shared" si="24"/>
        <v>0</v>
      </c>
      <c r="J87" s="37">
        <f>J89+J95+J103</f>
        <v>4704.626</v>
      </c>
      <c r="K87" s="79">
        <f>+(J87-B87)/B87</f>
        <v>-0.06200621816698454</v>
      </c>
    </row>
    <row r="88" spans="1:11" ht="12.75">
      <c r="A88" s="31"/>
      <c r="B88" s="47"/>
      <c r="C88" s="100"/>
      <c r="D88" s="100"/>
      <c r="E88" s="100"/>
      <c r="F88" s="100"/>
      <c r="G88" s="100"/>
      <c r="H88" s="100"/>
      <c r="I88" s="100"/>
      <c r="J88" s="100"/>
      <c r="K88" s="16"/>
    </row>
    <row r="89" spans="1:11" ht="12.75" customHeight="1">
      <c r="A89" s="26" t="s">
        <v>116</v>
      </c>
      <c r="B89" s="36">
        <f aca="true" t="shared" si="25" ref="B89:I89">+SUM(B90:B93)</f>
        <v>1178.051</v>
      </c>
      <c r="C89" s="37">
        <f t="shared" si="25"/>
        <v>0</v>
      </c>
      <c r="D89" s="37">
        <f t="shared" si="25"/>
        <v>-77.8</v>
      </c>
      <c r="E89" s="37">
        <f t="shared" si="25"/>
        <v>-1.5</v>
      </c>
      <c r="F89" s="37">
        <f t="shared" si="25"/>
        <v>-30</v>
      </c>
      <c r="G89" s="37">
        <f t="shared" si="25"/>
        <v>-101</v>
      </c>
      <c r="H89" s="37">
        <f t="shared" si="25"/>
        <v>0</v>
      </c>
      <c r="I89" s="37">
        <f t="shared" si="25"/>
        <v>0</v>
      </c>
      <c r="J89" s="37">
        <f>+SUM(J90:J93)</f>
        <v>967.751</v>
      </c>
      <c r="K89" s="79">
        <f>+(J89-B89)/B89</f>
        <v>-0.1785151916173408</v>
      </c>
    </row>
    <row r="90" spans="1:11" ht="12.75">
      <c r="A90" s="83" t="s">
        <v>139</v>
      </c>
      <c r="B90" s="41">
        <f>'2012-13'!J90</f>
        <v>-55.541</v>
      </c>
      <c r="C90" s="125">
        <f>+'[24]Appendix2 1314 Feeder'!C15</f>
        <v>0</v>
      </c>
      <c r="D90" s="125">
        <f>+'[24]Appendix2 1314 Feeder'!D15</f>
        <v>24.2</v>
      </c>
      <c r="E90" s="125">
        <f>+'[24]Appendix2 1314 Feeder'!E15</f>
        <v>-1.5</v>
      </c>
      <c r="F90" s="125">
        <f>+'[24]Appendix2 1314 Feeder'!F15</f>
        <v>0</v>
      </c>
      <c r="G90" s="125">
        <f>+'[24]Appendix2 1314 Feeder'!G15</f>
        <v>-61</v>
      </c>
      <c r="H90" s="125">
        <f>+'[24]Appendix2 1314 Feeder'!H15</f>
        <v>0</v>
      </c>
      <c r="I90" s="125">
        <v>0</v>
      </c>
      <c r="J90" s="40">
        <f>+B90+SUM(C90:I90)</f>
        <v>-93.841</v>
      </c>
      <c r="K90" s="80">
        <f>+(J90-B90)/B90</f>
        <v>0.6895806701355756</v>
      </c>
    </row>
    <row r="91" spans="1:11" ht="12.75">
      <c r="A91" s="83" t="s">
        <v>140</v>
      </c>
      <c r="B91" s="41">
        <f>'2012-13'!J91</f>
        <v>398.807</v>
      </c>
      <c r="C91" s="125">
        <f>+'[24]Appendix2 1314 Feeder'!C16</f>
        <v>0</v>
      </c>
      <c r="D91" s="125">
        <f>+'[24]Appendix2 1314 Feeder'!D16</f>
        <v>0</v>
      </c>
      <c r="E91" s="125">
        <f>+'[24]Appendix2 1314 Feeder'!E16</f>
        <v>0</v>
      </c>
      <c r="F91" s="125">
        <f>+'[24]Appendix2 1314 Feeder'!F16</f>
        <v>0</v>
      </c>
      <c r="G91" s="125">
        <f>+'[24]Appendix2 1314 Feeder'!G16</f>
        <v>-22.5</v>
      </c>
      <c r="H91" s="125">
        <f>+'[24]Appendix2 1314 Feeder'!H16</f>
        <v>0</v>
      </c>
      <c r="I91" s="125">
        <v>0</v>
      </c>
      <c r="J91" s="40">
        <f>+B91+SUM(C91:I91)</f>
        <v>376.307</v>
      </c>
      <c r="K91" s="80">
        <f>+(J91-B91)/B91</f>
        <v>-0.05641826748276735</v>
      </c>
    </row>
    <row r="92" spans="1:11" ht="12.75">
      <c r="A92" s="83" t="s">
        <v>68</v>
      </c>
      <c r="B92" s="41">
        <f>'2012-13'!J92</f>
        <v>646.439</v>
      </c>
      <c r="C92" s="125">
        <f>+'[24]Appendix2 1314 Feeder'!C17</f>
        <v>0</v>
      </c>
      <c r="D92" s="125">
        <f>+'[24]Appendix2 1314 Feeder'!D17</f>
        <v>-102</v>
      </c>
      <c r="E92" s="125">
        <f>+'[24]Appendix2 1314 Feeder'!E17</f>
        <v>0</v>
      </c>
      <c r="F92" s="125">
        <f>+'[24]Appendix2 1314 Feeder'!F17</f>
        <v>-30</v>
      </c>
      <c r="G92" s="125">
        <f>+'[24]Appendix2 1314 Feeder'!G17</f>
        <v>-17.5</v>
      </c>
      <c r="H92" s="125">
        <f>+'[24]Appendix2 1314 Feeder'!H17</f>
        <v>0</v>
      </c>
      <c r="I92" s="125">
        <v>0</v>
      </c>
      <c r="J92" s="40">
        <f>+B92+SUM(C92:I92)</f>
        <v>496.93899999999996</v>
      </c>
      <c r="K92" s="80">
        <f>+(J92-B92)/B92</f>
        <v>-0.2312669872950116</v>
      </c>
    </row>
    <row r="93" spans="1:11" ht="12.75">
      <c r="A93" s="83" t="s">
        <v>141</v>
      </c>
      <c r="B93" s="41">
        <f>'2012-13'!J93</f>
        <v>188.346</v>
      </c>
      <c r="C93" s="125">
        <f>+'[24]Appendix2 1314 Feeder'!C18</f>
        <v>0</v>
      </c>
      <c r="D93" s="125">
        <f>+'[24]Appendix2 1314 Feeder'!D18</f>
        <v>0</v>
      </c>
      <c r="E93" s="125">
        <f>+'[24]Appendix2 1314 Feeder'!E18</f>
        <v>0</v>
      </c>
      <c r="F93" s="125">
        <f>+'[24]Appendix2 1314 Feeder'!F18</f>
        <v>0</v>
      </c>
      <c r="G93" s="125">
        <f>+'[24]Appendix2 1314 Feeder'!G18</f>
        <v>0</v>
      </c>
      <c r="H93" s="125">
        <f>+'[24]Appendix2 1314 Feeder'!H18</f>
        <v>0</v>
      </c>
      <c r="I93" s="125">
        <v>0</v>
      </c>
      <c r="J93" s="40">
        <f>+B93+SUM(C93:I93)</f>
        <v>188.346</v>
      </c>
      <c r="K93" s="80">
        <f>+(J93-B93)/B93</f>
        <v>0</v>
      </c>
    </row>
    <row r="94" spans="1:11" ht="12.75">
      <c r="A94" s="83"/>
      <c r="B94" s="41"/>
      <c r="C94" s="40"/>
      <c r="D94" s="40"/>
      <c r="E94" s="40"/>
      <c r="F94" s="40"/>
      <c r="G94" s="40"/>
      <c r="H94" s="40"/>
      <c r="I94" s="40"/>
      <c r="J94" s="40"/>
      <c r="K94" s="80"/>
    </row>
    <row r="95" spans="1:11" ht="12.75">
      <c r="A95" s="26" t="s">
        <v>14</v>
      </c>
      <c r="B95" s="36">
        <f aca="true" t="shared" si="26" ref="B95:I95">+SUM(B96:B100)</f>
        <v>1342.963</v>
      </c>
      <c r="C95" s="38">
        <f t="shared" si="26"/>
        <v>0</v>
      </c>
      <c r="D95" s="38">
        <f t="shared" si="26"/>
        <v>0</v>
      </c>
      <c r="E95" s="38">
        <f t="shared" si="26"/>
        <v>-6</v>
      </c>
      <c r="F95" s="38">
        <f t="shared" si="26"/>
        <v>0</v>
      </c>
      <c r="G95" s="38">
        <f t="shared" si="26"/>
        <v>-20</v>
      </c>
      <c r="H95" s="38">
        <f t="shared" si="26"/>
        <v>-26</v>
      </c>
      <c r="I95" s="38">
        <f t="shared" si="26"/>
        <v>0</v>
      </c>
      <c r="J95" s="38">
        <f>+SUM(J96:J100)</f>
        <v>1290.963</v>
      </c>
      <c r="K95" s="79">
        <f aca="true" t="shared" si="27" ref="K95:K100">+(J95-B95)/B95</f>
        <v>-0.038720351938214236</v>
      </c>
    </row>
    <row r="96" spans="1:11" ht="12.75">
      <c r="A96" s="10" t="s">
        <v>15</v>
      </c>
      <c r="B96" s="41">
        <f>'2012-13'!J96</f>
        <v>706.108</v>
      </c>
      <c r="C96" s="42">
        <f>'[22]Appendix2 1314 Feeder'!C15</f>
        <v>0</v>
      </c>
      <c r="D96" s="42">
        <f>'[22]Appendix2 1314 Feeder'!D15</f>
        <v>0</v>
      </c>
      <c r="E96" s="42">
        <f>'[22]Appendix2 1314 Feeder'!E15</f>
        <v>-6</v>
      </c>
      <c r="F96" s="42">
        <f>'[22]Appendix2 1314 Feeder'!F15</f>
        <v>0</v>
      </c>
      <c r="G96" s="42">
        <f>'[22]Appendix2 1314 Feeder'!G15</f>
        <v>0</v>
      </c>
      <c r="H96" s="42">
        <f>'[22]Appendix2 1314 Feeder'!H15</f>
        <v>0</v>
      </c>
      <c r="I96" s="42">
        <v>0</v>
      </c>
      <c r="J96" s="40">
        <f aca="true" t="shared" si="28" ref="J96:J101">+B96+SUM(C96:I96)</f>
        <v>700.108</v>
      </c>
      <c r="K96" s="80">
        <f t="shared" si="27"/>
        <v>-0.008497283701643375</v>
      </c>
    </row>
    <row r="97" spans="1:11" ht="12.75">
      <c r="A97" s="10" t="s">
        <v>16</v>
      </c>
      <c r="B97" s="41">
        <f>'2012-13'!J97</f>
        <v>40.014</v>
      </c>
      <c r="C97" s="42">
        <f>'[22]Appendix2 1314 Feeder'!C16</f>
        <v>0</v>
      </c>
      <c r="D97" s="42">
        <f>'[22]Appendix2 1314 Feeder'!D16</f>
        <v>0</v>
      </c>
      <c r="E97" s="42">
        <f>'[22]Appendix2 1314 Feeder'!E16</f>
        <v>0</v>
      </c>
      <c r="F97" s="42">
        <f>'[22]Appendix2 1314 Feeder'!F16</f>
        <v>0</v>
      </c>
      <c r="G97" s="42">
        <f>'[22]Appendix2 1314 Feeder'!G16</f>
        <v>0</v>
      </c>
      <c r="H97" s="42">
        <f>'[22]Appendix2 1314 Feeder'!H16</f>
        <v>0</v>
      </c>
      <c r="I97" s="42">
        <v>0</v>
      </c>
      <c r="J97" s="40">
        <f t="shared" si="28"/>
        <v>40.014</v>
      </c>
      <c r="K97" s="80">
        <f t="shared" si="27"/>
        <v>0</v>
      </c>
    </row>
    <row r="98" spans="1:11" ht="12.75" hidden="1">
      <c r="A98" s="10" t="s">
        <v>17</v>
      </c>
      <c r="B98" s="41">
        <f>'2012-13'!J98</f>
        <v>0</v>
      </c>
      <c r="C98" s="42">
        <f>'[22]Appendix2 1314 Feeder'!C17</f>
        <v>0</v>
      </c>
      <c r="D98" s="42">
        <f>'[22]Appendix2 1314 Feeder'!D17</f>
        <v>0</v>
      </c>
      <c r="E98" s="42">
        <f>'[22]Appendix2 1314 Feeder'!E17</f>
        <v>0</v>
      </c>
      <c r="F98" s="42">
        <f>'[22]Appendix2 1314 Feeder'!F17</f>
        <v>0</v>
      </c>
      <c r="G98" s="42">
        <f>'[22]Appendix2 1314 Feeder'!G17</f>
        <v>0</v>
      </c>
      <c r="H98" s="42">
        <f>'[22]Appendix2 1314 Feeder'!H17</f>
        <v>0</v>
      </c>
      <c r="I98" s="42"/>
      <c r="J98" s="40">
        <f t="shared" si="28"/>
        <v>0</v>
      </c>
      <c r="K98" s="80" t="e">
        <f t="shared" si="27"/>
        <v>#DIV/0!</v>
      </c>
    </row>
    <row r="99" spans="1:11" ht="12.75">
      <c r="A99" s="10" t="s">
        <v>18</v>
      </c>
      <c r="B99" s="41">
        <f>'2012-13'!J99</f>
        <v>564.225</v>
      </c>
      <c r="C99" s="42">
        <f>'[22]Appendix2 1314 Feeder'!C18</f>
        <v>0</v>
      </c>
      <c r="D99" s="42">
        <f>'[22]Appendix2 1314 Feeder'!D18</f>
        <v>0</v>
      </c>
      <c r="E99" s="42">
        <f>'[22]Appendix2 1314 Feeder'!E18</f>
        <v>0</v>
      </c>
      <c r="F99" s="42">
        <f>'[22]Appendix2 1314 Feeder'!F18</f>
        <v>0</v>
      </c>
      <c r="G99" s="42">
        <f>'[22]Appendix2 1314 Feeder'!G18</f>
        <v>0</v>
      </c>
      <c r="H99" s="42">
        <f>'[22]Appendix2 1314 Feeder'!H18</f>
        <v>-26</v>
      </c>
      <c r="I99" s="42">
        <v>0</v>
      </c>
      <c r="J99" s="40">
        <f t="shared" si="28"/>
        <v>538.225</v>
      </c>
      <c r="K99" s="80">
        <f t="shared" si="27"/>
        <v>-0.046080907439408035</v>
      </c>
    </row>
    <row r="100" spans="1:11" ht="12.75">
      <c r="A100" s="10" t="s">
        <v>19</v>
      </c>
      <c r="B100" s="41">
        <f>'2012-13'!J100</f>
        <v>32.616</v>
      </c>
      <c r="C100" s="42">
        <f>'[22]Appendix2 1314 Feeder'!C19</f>
        <v>0</v>
      </c>
      <c r="D100" s="42">
        <f>'[22]Appendix2 1314 Feeder'!D19</f>
        <v>0</v>
      </c>
      <c r="E100" s="42">
        <f>'[22]Appendix2 1314 Feeder'!E19</f>
        <v>0</v>
      </c>
      <c r="F100" s="42">
        <f>'[22]Appendix2 1314 Feeder'!F19</f>
        <v>0</v>
      </c>
      <c r="G100" s="42">
        <f>'[22]Appendix2 1314 Feeder'!G19</f>
        <v>-20</v>
      </c>
      <c r="H100" s="42">
        <f>'[22]Appendix2 1314 Feeder'!H19</f>
        <v>0</v>
      </c>
      <c r="I100" s="42">
        <v>0</v>
      </c>
      <c r="J100" s="40">
        <f t="shared" si="28"/>
        <v>12.616</v>
      </c>
      <c r="K100" s="80">
        <f t="shared" si="27"/>
        <v>-0.613195977434388</v>
      </c>
    </row>
    <row r="101" spans="1:11" ht="12.75">
      <c r="A101" s="10"/>
      <c r="B101" s="41"/>
      <c r="C101" s="42"/>
      <c r="D101" s="42"/>
      <c r="E101" s="42"/>
      <c r="F101" s="42"/>
      <c r="G101" s="42"/>
      <c r="H101" s="42"/>
      <c r="I101" s="42"/>
      <c r="J101" s="40">
        <f t="shared" si="28"/>
        <v>0</v>
      </c>
      <c r="K101" s="16"/>
    </row>
    <row r="102" spans="1:11" ht="12.75">
      <c r="A102" s="27"/>
      <c r="B102" s="47"/>
      <c r="C102" s="48"/>
      <c r="D102" s="48"/>
      <c r="E102" s="48"/>
      <c r="F102" s="48"/>
      <c r="G102" s="48"/>
      <c r="H102" s="48"/>
      <c r="I102" s="48"/>
      <c r="J102" s="48"/>
      <c r="K102" s="16"/>
    </row>
    <row r="103" spans="1:11" ht="12.75">
      <c r="A103" s="26" t="s">
        <v>23</v>
      </c>
      <c r="B103" s="36">
        <f aca="true" t="shared" si="29" ref="B103:I103">+SUM(B104:B109)</f>
        <v>2494.612</v>
      </c>
      <c r="C103" s="38">
        <f t="shared" si="29"/>
        <v>0</v>
      </c>
      <c r="D103" s="38">
        <f t="shared" si="29"/>
        <v>0</v>
      </c>
      <c r="E103" s="38">
        <f t="shared" si="29"/>
        <v>-29.7</v>
      </c>
      <c r="F103" s="38">
        <f t="shared" si="29"/>
        <v>-14</v>
      </c>
      <c r="G103" s="38">
        <f t="shared" si="29"/>
        <v>-5</v>
      </c>
      <c r="H103" s="38">
        <f t="shared" si="29"/>
        <v>0</v>
      </c>
      <c r="I103" s="38">
        <f t="shared" si="29"/>
        <v>0</v>
      </c>
      <c r="J103" s="38">
        <f>+SUM(J104:J109)</f>
        <v>2445.9120000000003</v>
      </c>
      <c r="K103" s="79">
        <f aca="true" t="shared" si="30" ref="K103:K109">+(J103-B103)/B103</f>
        <v>-0.01952207397382832</v>
      </c>
    </row>
    <row r="104" spans="1:11" ht="12.75">
      <c r="A104" s="11" t="s">
        <v>62</v>
      </c>
      <c r="B104" s="41">
        <f>'2012-13'!J104</f>
        <v>225.828</v>
      </c>
      <c r="C104" s="42">
        <f>'[27]Appendix2 1314 Feeder'!C15</f>
        <v>0</v>
      </c>
      <c r="D104" s="42">
        <f>'[27]Appendix2 1314 Feeder'!D15</f>
        <v>0</v>
      </c>
      <c r="E104" s="42">
        <f>'[27]Appendix2 1314 Feeder'!E15</f>
        <v>0</v>
      </c>
      <c r="F104" s="42">
        <f>'[27]Appendix2 1314 Feeder'!F15</f>
        <v>0</v>
      </c>
      <c r="G104" s="42">
        <f>'[27]Appendix2 1314 Feeder'!G15</f>
        <v>0</v>
      </c>
      <c r="H104" s="42">
        <f>'[27]Appendix2 1314 Feeder'!H15</f>
        <v>0</v>
      </c>
      <c r="I104" s="42">
        <v>0</v>
      </c>
      <c r="J104" s="40">
        <f aca="true" t="shared" si="31" ref="J104:J109">+B104+SUM(C104:I104)</f>
        <v>225.828</v>
      </c>
      <c r="K104" s="80">
        <f t="shared" si="30"/>
        <v>0</v>
      </c>
    </row>
    <row r="105" spans="1:11" ht="12.75">
      <c r="A105" s="11" t="s">
        <v>63</v>
      </c>
      <c r="B105" s="41">
        <f>'2012-13'!J105</f>
        <v>159.248</v>
      </c>
      <c r="C105" s="42">
        <f>'[27]Appendix2 1314 Feeder'!C16</f>
        <v>0</v>
      </c>
      <c r="D105" s="42">
        <f>'[27]Appendix2 1314 Feeder'!D16</f>
        <v>0</v>
      </c>
      <c r="E105" s="42">
        <f>'[27]Appendix2 1314 Feeder'!E16</f>
        <v>0</v>
      </c>
      <c r="F105" s="42">
        <f>'[27]Appendix2 1314 Feeder'!F16</f>
        <v>0</v>
      </c>
      <c r="G105" s="42">
        <f>'[27]Appendix2 1314 Feeder'!G16</f>
        <v>0</v>
      </c>
      <c r="H105" s="42">
        <f>'[27]Appendix2 1314 Feeder'!H16</f>
        <v>0</v>
      </c>
      <c r="I105" s="42">
        <v>0</v>
      </c>
      <c r="J105" s="40">
        <f t="shared" si="31"/>
        <v>159.248</v>
      </c>
      <c r="K105" s="80">
        <f t="shared" si="30"/>
        <v>0</v>
      </c>
    </row>
    <row r="106" spans="1:11" ht="12.75">
      <c r="A106" s="11" t="s">
        <v>64</v>
      </c>
      <c r="B106" s="41">
        <f>'2012-13'!J106</f>
        <v>775.854</v>
      </c>
      <c r="C106" s="42">
        <f>'[27]Appendix2 1314 Feeder'!C17</f>
        <v>0</v>
      </c>
      <c r="D106" s="42">
        <f>'[27]Appendix2 1314 Feeder'!D17</f>
        <v>0</v>
      </c>
      <c r="E106" s="42">
        <f>'[27]Appendix2 1314 Feeder'!E17</f>
        <v>-29.7</v>
      </c>
      <c r="F106" s="42">
        <f>'[27]Appendix2 1314 Feeder'!F17</f>
        <v>-14</v>
      </c>
      <c r="G106" s="42">
        <f>'[27]Appendix2 1314 Feeder'!G17</f>
        <v>-5</v>
      </c>
      <c r="H106" s="42">
        <f>'[27]Appendix2 1314 Feeder'!H17</f>
        <v>0</v>
      </c>
      <c r="I106" s="42">
        <v>0</v>
      </c>
      <c r="J106" s="40">
        <f t="shared" si="31"/>
        <v>727.154</v>
      </c>
      <c r="K106" s="80">
        <f t="shared" si="30"/>
        <v>-0.06276954169212254</v>
      </c>
    </row>
    <row r="107" spans="1:11" ht="12.75">
      <c r="A107" s="11" t="s">
        <v>65</v>
      </c>
      <c r="B107" s="41">
        <f>'2012-13'!J107</f>
        <v>439.242</v>
      </c>
      <c r="C107" s="42">
        <f>'[27]Appendix2 1314 Feeder'!C18</f>
        <v>0</v>
      </c>
      <c r="D107" s="42">
        <f>'[27]Appendix2 1314 Feeder'!D18</f>
        <v>0</v>
      </c>
      <c r="E107" s="42">
        <f>'[27]Appendix2 1314 Feeder'!E18</f>
        <v>0</v>
      </c>
      <c r="F107" s="42">
        <f>'[27]Appendix2 1314 Feeder'!F18</f>
        <v>0</v>
      </c>
      <c r="G107" s="42">
        <f>'[27]Appendix2 1314 Feeder'!G18</f>
        <v>0</v>
      </c>
      <c r="H107" s="42">
        <f>'[27]Appendix2 1314 Feeder'!H18</f>
        <v>0</v>
      </c>
      <c r="I107" s="42">
        <v>0</v>
      </c>
      <c r="J107" s="40">
        <f t="shared" si="31"/>
        <v>439.242</v>
      </c>
      <c r="K107" s="80">
        <f t="shared" si="30"/>
        <v>0</v>
      </c>
    </row>
    <row r="108" spans="1:11" ht="12.75">
      <c r="A108" s="11" t="s">
        <v>66</v>
      </c>
      <c r="B108" s="41">
        <f>'2012-13'!J108</f>
        <v>52.728</v>
      </c>
      <c r="C108" s="42">
        <f>'[27]Appendix2 1314 Feeder'!C19</f>
        <v>0</v>
      </c>
      <c r="D108" s="42">
        <f>'[27]Appendix2 1314 Feeder'!D19</f>
        <v>0</v>
      </c>
      <c r="E108" s="42">
        <f>'[27]Appendix2 1314 Feeder'!E19</f>
        <v>0</v>
      </c>
      <c r="F108" s="42">
        <f>'[27]Appendix2 1314 Feeder'!F19</f>
        <v>0</v>
      </c>
      <c r="G108" s="42">
        <f>'[27]Appendix2 1314 Feeder'!G19</f>
        <v>0</v>
      </c>
      <c r="H108" s="42">
        <f>'[27]Appendix2 1314 Feeder'!H19</f>
        <v>0</v>
      </c>
      <c r="I108" s="42">
        <v>0</v>
      </c>
      <c r="J108" s="40">
        <f t="shared" si="31"/>
        <v>52.728</v>
      </c>
      <c r="K108" s="80">
        <f t="shared" si="30"/>
        <v>0</v>
      </c>
    </row>
    <row r="109" spans="1:11" ht="12.75">
      <c r="A109" s="11" t="s">
        <v>67</v>
      </c>
      <c r="B109" s="41">
        <f>'2012-13'!J109</f>
        <v>841.712</v>
      </c>
      <c r="C109" s="42">
        <f>'[27]Appendix2 1314 Feeder'!C20</f>
        <v>0</v>
      </c>
      <c r="D109" s="42">
        <f>'[27]Appendix2 1314 Feeder'!D20</f>
        <v>0</v>
      </c>
      <c r="E109" s="42">
        <f>'[27]Appendix2 1314 Feeder'!E20</f>
        <v>0</v>
      </c>
      <c r="F109" s="42">
        <f>'[27]Appendix2 1314 Feeder'!F20</f>
        <v>0</v>
      </c>
      <c r="G109" s="42">
        <f>'[27]Appendix2 1314 Feeder'!G20</f>
        <v>0</v>
      </c>
      <c r="H109" s="42">
        <f>'[27]Appendix2 1314 Feeder'!H20</f>
        <v>0</v>
      </c>
      <c r="I109" s="42">
        <v>0</v>
      </c>
      <c r="J109" s="40">
        <f t="shared" si="31"/>
        <v>841.712</v>
      </c>
      <c r="K109" s="80">
        <f t="shared" si="30"/>
        <v>0</v>
      </c>
    </row>
    <row r="110" spans="1:11" ht="12.75">
      <c r="A110" s="29"/>
      <c r="B110" s="45"/>
      <c r="C110" s="46"/>
      <c r="D110" s="46"/>
      <c r="E110" s="46"/>
      <c r="F110" s="46"/>
      <c r="G110" s="46"/>
      <c r="H110" s="46"/>
      <c r="I110" s="46"/>
      <c r="J110" s="46"/>
      <c r="K110" s="20"/>
    </row>
    <row r="111" spans="1:13" ht="41.25" customHeight="1">
      <c r="A111" s="32" t="s">
        <v>120</v>
      </c>
      <c r="B111" s="49">
        <f aca="true" t="shared" si="32" ref="B111:I111">+B4+B27+B49+B87</f>
        <v>23764.489117</v>
      </c>
      <c r="C111" s="50">
        <f t="shared" si="32"/>
        <v>161.66790785</v>
      </c>
      <c r="D111" s="50">
        <f t="shared" si="32"/>
        <v>3.200000000000003</v>
      </c>
      <c r="E111" s="50">
        <f>+E4+E27+E49+E87</f>
        <v>-636.06765</v>
      </c>
      <c r="F111" s="50">
        <f t="shared" si="32"/>
        <v>-205</v>
      </c>
      <c r="G111" s="50">
        <f t="shared" si="32"/>
        <v>-655.825</v>
      </c>
      <c r="H111" s="50">
        <f t="shared" si="32"/>
        <v>-241</v>
      </c>
      <c r="I111" s="50">
        <f t="shared" si="32"/>
        <v>-49</v>
      </c>
      <c r="J111" s="50">
        <f>+J4+J27+J49+J87</f>
        <v>22142.46437485</v>
      </c>
      <c r="K111" s="81">
        <f>+(J111-B111)/B111</f>
        <v>-0.06825413894505657</v>
      </c>
      <c r="M111" s="119"/>
    </row>
    <row r="112" spans="1:11" ht="12.75">
      <c r="A112" s="33"/>
      <c r="B112" s="1"/>
      <c r="C112" s="1"/>
      <c r="D112" s="1"/>
      <c r="E112" s="1"/>
      <c r="F112" s="1"/>
      <c r="G112" s="1"/>
      <c r="H112" s="1"/>
      <c r="I112" s="1"/>
      <c r="J112" s="22"/>
      <c r="K112" s="23"/>
    </row>
    <row r="113" spans="1:10" ht="12.75">
      <c r="A113" s="33"/>
      <c r="B113" s="1"/>
      <c r="C113" s="1"/>
      <c r="D113" s="1"/>
      <c r="E113" s="1"/>
      <c r="F113" s="1"/>
      <c r="G113" s="1"/>
      <c r="H113" s="1"/>
      <c r="I113" s="1"/>
      <c r="J113" s="1"/>
    </row>
    <row r="114" spans="3:10" ht="12.75" hidden="1">
      <c r="C114" s="12">
        <v>16</v>
      </c>
      <c r="D114" s="12">
        <v>1141</v>
      </c>
      <c r="E114" s="12">
        <v>-1505.0497</v>
      </c>
      <c r="F114" s="12">
        <v>-756</v>
      </c>
      <c r="G114" s="12">
        <v>-537.74</v>
      </c>
      <c r="H114" s="12">
        <v>-340.8</v>
      </c>
      <c r="J114" s="12">
        <v>19468.081149999998</v>
      </c>
    </row>
    <row r="115" ht="12.75" hidden="1"/>
    <row r="116" ht="12.75" hidden="1"/>
    <row r="117" spans="3:10" ht="12.75" hidden="1">
      <c r="C117" s="60">
        <f aca="true" t="shared" si="33" ref="C117:J117">+C114-C111</f>
        <v>-145.66790785</v>
      </c>
      <c r="D117" s="60">
        <f t="shared" si="33"/>
        <v>1137.8</v>
      </c>
      <c r="E117" s="60">
        <f t="shared" si="33"/>
        <v>-868.9820500000001</v>
      </c>
      <c r="F117" s="60">
        <f t="shared" si="33"/>
        <v>-551</v>
      </c>
      <c r="G117" s="60">
        <f t="shared" si="33"/>
        <v>118.08500000000004</v>
      </c>
      <c r="H117" s="60">
        <f t="shared" si="33"/>
        <v>-99.80000000000001</v>
      </c>
      <c r="I117" s="60"/>
      <c r="J117" s="60">
        <f t="shared" si="33"/>
        <v>-2674.3832248500003</v>
      </c>
    </row>
    <row r="118" ht="12.75" hidden="1"/>
  </sheetData>
  <autoFilter ref="A3:K111"/>
  <mergeCells count="1">
    <mergeCell ref="A1:K1"/>
  </mergeCells>
  <conditionalFormatting sqref="K101:K102 K75 K85:K86 K110 K69 K57 K48 K50 K28 K26 K18 K88 K2:K3 K5 K12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6299212598425197" header="0.31496062992125984" footer="0.1968503937007874"/>
  <pageSetup fitToHeight="5" horizontalDpi="600" verticalDpi="600" orientation="landscape" paperSize="9" scale="85" r:id="rId1"/>
  <headerFooter alignWithMargins="0">
    <oddHeader>&amp;R&amp;16Appendix 2</oddHeader>
    <oddFooter>&amp;R&amp;16&amp;P</oddFooter>
  </headerFooter>
  <rowBreaks count="3" manualBreakCount="3">
    <brk id="26" max="9" man="1"/>
    <brk id="48" max="9" man="1"/>
    <brk id="8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117"/>
  <sheetViews>
    <sheetView tabSelected="1" view="pageBreakPreview" zoomScale="60" zoomScaleNormal="70" workbookViewId="0" topLeftCell="A1">
      <pane xSplit="1" ySplit="3" topLeftCell="B52" activePane="bottomRight" state="frozen"/>
      <selection pane="topLeft" activeCell="AL46" sqref="AL46"/>
      <selection pane="topRight" activeCell="AL46" sqref="AL46"/>
      <selection pane="bottomLeft" activeCell="AL46" sqref="AL46"/>
      <selection pane="bottomRight" activeCell="AL46" sqref="AL46"/>
    </sheetView>
  </sheetViews>
  <sheetFormatPr defaultColWidth="9.140625" defaultRowHeight="12.75"/>
  <cols>
    <col min="1" max="1" width="33.28125" style="30" bestFit="1" customWidth="1"/>
    <col min="2" max="2" width="12.7109375" style="12" customWidth="1"/>
    <col min="3" max="3" width="14.7109375" style="12" customWidth="1"/>
    <col min="4" max="7" width="12.7109375" style="12" customWidth="1"/>
    <col min="8" max="9" width="14.140625" style="12" customWidth="1"/>
    <col min="10" max="10" width="12.7109375" style="12" customWidth="1"/>
    <col min="11" max="11" width="11.7109375" style="12" bestFit="1" customWidth="1"/>
    <col min="12" max="13" width="9.140625" style="12" customWidth="1"/>
    <col min="14" max="14" width="9.7109375" style="12" hidden="1" customWidth="1"/>
    <col min="15" max="35" width="0" style="12" hidden="1" customWidth="1"/>
    <col min="36" max="16384" width="9.140625" style="12" customWidth="1"/>
  </cols>
  <sheetData>
    <row r="1" spans="1:11" ht="27.75">
      <c r="A1" s="158" t="s">
        <v>177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</row>
    <row r="2" spans="1:11" ht="90.75" customHeight="1">
      <c r="A2" s="32"/>
      <c r="B2" s="4" t="s">
        <v>97</v>
      </c>
      <c r="C2" s="5" t="s">
        <v>10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247</v>
      </c>
      <c r="J2" s="5" t="s">
        <v>178</v>
      </c>
      <c r="K2" s="2" t="s">
        <v>114</v>
      </c>
    </row>
    <row r="3" spans="1:11" ht="13.5" customHeight="1">
      <c r="A3" s="52"/>
      <c r="B3" s="24" t="s">
        <v>73</v>
      </c>
      <c r="C3" s="7" t="s">
        <v>73</v>
      </c>
      <c r="D3" s="7" t="s">
        <v>73</v>
      </c>
      <c r="E3" s="7" t="s">
        <v>73</v>
      </c>
      <c r="F3" s="7" t="s">
        <v>73</v>
      </c>
      <c r="G3" s="7" t="s">
        <v>73</v>
      </c>
      <c r="H3" s="7" t="s">
        <v>73</v>
      </c>
      <c r="I3" s="7" t="s">
        <v>73</v>
      </c>
      <c r="J3" s="7" t="s">
        <v>73</v>
      </c>
      <c r="K3" s="4"/>
    </row>
    <row r="4" spans="1:11" ht="12.75">
      <c r="A4" s="25" t="s">
        <v>24</v>
      </c>
      <c r="B4" s="34">
        <f aca="true" t="shared" si="0" ref="B4:I4">+B6+B13+B19</f>
        <v>4149.815000000001</v>
      </c>
      <c r="C4" s="35">
        <f t="shared" si="0"/>
        <v>0</v>
      </c>
      <c r="D4" s="35">
        <f t="shared" si="0"/>
        <v>0</v>
      </c>
      <c r="E4" s="35">
        <f t="shared" si="0"/>
        <v>-181</v>
      </c>
      <c r="F4" s="35">
        <f t="shared" si="0"/>
        <v>0</v>
      </c>
      <c r="G4" s="35">
        <f t="shared" si="0"/>
        <v>83</v>
      </c>
      <c r="H4" s="35">
        <f t="shared" si="0"/>
        <v>-156</v>
      </c>
      <c r="I4" s="35">
        <f t="shared" si="0"/>
        <v>-99</v>
      </c>
      <c r="J4" s="35">
        <f>+J6+J13+J19</f>
        <v>3796.8150000000014</v>
      </c>
      <c r="K4" s="77">
        <f>+(J4-B4)/B4</f>
        <v>-0.08506403297496391</v>
      </c>
    </row>
    <row r="5" spans="1:11" ht="12.75">
      <c r="A5" s="26"/>
      <c r="B5" s="36"/>
      <c r="C5" s="37"/>
      <c r="D5" s="37"/>
      <c r="E5" s="37"/>
      <c r="F5" s="37"/>
      <c r="G5" s="37"/>
      <c r="H5" s="37"/>
      <c r="I5" s="78"/>
      <c r="J5" s="78"/>
      <c r="K5" s="16"/>
    </row>
    <row r="6" spans="1:11" ht="12.75">
      <c r="A6" s="26" t="s">
        <v>25</v>
      </c>
      <c r="B6" s="36">
        <f aca="true" t="shared" si="1" ref="B6:I6">+SUM(B7:B11)</f>
        <v>840.899</v>
      </c>
      <c r="C6" s="38">
        <f t="shared" si="1"/>
        <v>0</v>
      </c>
      <c r="D6" s="38">
        <f t="shared" si="1"/>
        <v>0</v>
      </c>
      <c r="E6" s="38">
        <f t="shared" si="1"/>
        <v>-20</v>
      </c>
      <c r="F6" s="38">
        <f t="shared" si="1"/>
        <v>0</v>
      </c>
      <c r="G6" s="38">
        <f t="shared" si="1"/>
        <v>95</v>
      </c>
      <c r="H6" s="38">
        <f t="shared" si="1"/>
        <v>-113</v>
      </c>
      <c r="I6" s="38">
        <f t="shared" si="1"/>
        <v>0</v>
      </c>
      <c r="J6" s="38">
        <f>+SUM(J7:J11)</f>
        <v>802.899</v>
      </c>
      <c r="K6" s="79">
        <f aca="true" t="shared" si="2" ref="K6:K11">+(J6-B6)/B6</f>
        <v>-0.04518973146596678</v>
      </c>
    </row>
    <row r="7" spans="1:11" ht="12.75">
      <c r="A7" s="10" t="s">
        <v>26</v>
      </c>
      <c r="B7" s="39">
        <f>'2013-14'!J7</f>
        <v>30.424999999999997</v>
      </c>
      <c r="C7" s="40">
        <f>'[17]Appendix2 1415 Feeder'!C15</f>
        <v>0</v>
      </c>
      <c r="D7" s="40">
        <f>'[17]Appendix2 1415 Feeder'!D15</f>
        <v>0</v>
      </c>
      <c r="E7" s="40">
        <f>'[17]Appendix2 1415 Feeder'!E15</f>
        <v>0</v>
      </c>
      <c r="F7" s="40">
        <f>'[17]Appendix2 1415 Feeder'!F15</f>
        <v>0</v>
      </c>
      <c r="G7" s="40">
        <f>'[17]Appendix2 1415 Feeder'!G15</f>
        <v>0</v>
      </c>
      <c r="H7" s="40">
        <f>'[17]Appendix2 1415 Feeder'!H15</f>
        <v>-13</v>
      </c>
      <c r="I7" s="40">
        <v>0</v>
      </c>
      <c r="J7" s="40">
        <f>+B7+SUM(C7:I7)</f>
        <v>17.424999999999997</v>
      </c>
      <c r="K7" s="80">
        <f t="shared" si="2"/>
        <v>-0.4272801972062449</v>
      </c>
    </row>
    <row r="8" spans="1:11" ht="12.75">
      <c r="A8" s="10" t="s">
        <v>27</v>
      </c>
      <c r="B8" s="39">
        <f>'2013-14'!J8</f>
        <v>8.370000000000005</v>
      </c>
      <c r="C8" s="40">
        <f>'[17]Appendix2 1415 Feeder'!C16</f>
        <v>0</v>
      </c>
      <c r="D8" s="40">
        <f>'[17]Appendix2 1415 Feeder'!D16</f>
        <v>0</v>
      </c>
      <c r="E8" s="40">
        <f>'[17]Appendix2 1415 Feeder'!E16</f>
        <v>0</v>
      </c>
      <c r="F8" s="40">
        <f>'[17]Appendix2 1415 Feeder'!F16</f>
        <v>0</v>
      </c>
      <c r="G8" s="40">
        <f>'[17]Appendix2 1415 Feeder'!G16</f>
        <v>0</v>
      </c>
      <c r="H8" s="40">
        <f>'[17]Appendix2 1415 Feeder'!H16</f>
        <v>0</v>
      </c>
      <c r="I8" s="40">
        <v>0</v>
      </c>
      <c r="J8" s="40">
        <f>+B8+SUM(C8:I8)</f>
        <v>8.370000000000005</v>
      </c>
      <c r="K8" s="80">
        <f t="shared" si="2"/>
        <v>0</v>
      </c>
    </row>
    <row r="9" spans="1:11" ht="12.75">
      <c r="A9" s="10" t="s">
        <v>110</v>
      </c>
      <c r="B9" s="39">
        <f>'2013-14'!J9</f>
        <v>392.503</v>
      </c>
      <c r="C9" s="40">
        <f>'[17]Appendix2 1415 Feeder'!C17</f>
        <v>0</v>
      </c>
      <c r="D9" s="40">
        <f>'[17]Appendix2 1415 Feeder'!D17</f>
        <v>0</v>
      </c>
      <c r="E9" s="40">
        <f>'[17]Appendix2 1415 Feeder'!E17</f>
        <v>0</v>
      </c>
      <c r="F9" s="40">
        <f>'[17]Appendix2 1415 Feeder'!F17</f>
        <v>0</v>
      </c>
      <c r="G9" s="40">
        <f>'[17]Appendix2 1415 Feeder'!G17</f>
        <v>0</v>
      </c>
      <c r="H9" s="40">
        <f>'[17]Appendix2 1415 Feeder'!H17</f>
        <v>0</v>
      </c>
      <c r="I9" s="40">
        <v>0</v>
      </c>
      <c r="J9" s="40">
        <f>+B9+SUM(C9:I9)</f>
        <v>392.503</v>
      </c>
      <c r="K9" s="80">
        <f t="shared" si="2"/>
        <v>0</v>
      </c>
    </row>
    <row r="10" spans="1:11" ht="12.75">
      <c r="A10" s="10" t="s">
        <v>28</v>
      </c>
      <c r="B10" s="39">
        <f>'2013-14'!J10</f>
        <v>-69.279</v>
      </c>
      <c r="C10" s="40">
        <f>'[17]Appendix2 1415 Feeder'!C18</f>
        <v>0</v>
      </c>
      <c r="D10" s="40">
        <f>'[17]Appendix2 1415 Feeder'!D18</f>
        <v>0</v>
      </c>
      <c r="E10" s="40">
        <f>'[17]Appendix2 1415 Feeder'!E18</f>
        <v>0</v>
      </c>
      <c r="F10" s="40">
        <f>'[17]Appendix2 1415 Feeder'!F18</f>
        <v>0</v>
      </c>
      <c r="G10" s="40">
        <f>'[17]Appendix2 1415 Feeder'!G18</f>
        <v>0</v>
      </c>
      <c r="H10" s="40">
        <f>'[17]Appendix2 1415 Feeder'!H18</f>
        <v>0</v>
      </c>
      <c r="I10" s="40">
        <v>0</v>
      </c>
      <c r="J10" s="40">
        <f>+B10+SUM(C10:I10)</f>
        <v>-69.279</v>
      </c>
      <c r="K10" s="80">
        <f t="shared" si="2"/>
        <v>0</v>
      </c>
    </row>
    <row r="11" spans="1:11" ht="12.75">
      <c r="A11" s="10" t="s">
        <v>82</v>
      </c>
      <c r="B11" s="39">
        <f>'2013-14'!J11</f>
        <v>478.88</v>
      </c>
      <c r="C11" s="40">
        <f>'[17]Appendix2 1415 Feeder'!C19</f>
        <v>0</v>
      </c>
      <c r="D11" s="40">
        <f>'[17]Appendix2 1415 Feeder'!D19</f>
        <v>0</v>
      </c>
      <c r="E11" s="40">
        <f>'[17]Appendix2 1415 Feeder'!E19</f>
        <v>-20</v>
      </c>
      <c r="F11" s="40">
        <f>'[17]Appendix2 1415 Feeder'!F19</f>
        <v>0</v>
      </c>
      <c r="G11" s="40">
        <f>'[17]Appendix2 1415 Feeder'!G19</f>
        <v>95</v>
      </c>
      <c r="H11" s="40">
        <f>'[17]Appendix2 1415 Feeder'!H19</f>
        <v>-100</v>
      </c>
      <c r="I11" s="40">
        <v>0</v>
      </c>
      <c r="J11" s="40">
        <f>+B11+SUM(C11:I11)</f>
        <v>453.88</v>
      </c>
      <c r="K11" s="80">
        <f t="shared" si="2"/>
        <v>-0.052205145339124626</v>
      </c>
    </row>
    <row r="12" spans="1:11" ht="12.75">
      <c r="A12" s="26"/>
      <c r="B12" s="36"/>
      <c r="C12" s="37"/>
      <c r="D12" s="37"/>
      <c r="E12" s="37"/>
      <c r="F12" s="37"/>
      <c r="G12" s="37"/>
      <c r="H12" s="37"/>
      <c r="I12" s="37"/>
      <c r="J12" s="37"/>
      <c r="K12" s="16"/>
    </row>
    <row r="13" spans="1:11" ht="12.75">
      <c r="A13" s="28" t="s">
        <v>35</v>
      </c>
      <c r="B13" s="36">
        <f aca="true" t="shared" si="3" ref="B13:I13">+SUM(B14:B17)</f>
        <v>-3738.2669999999994</v>
      </c>
      <c r="C13" s="37">
        <f t="shared" si="3"/>
        <v>0</v>
      </c>
      <c r="D13" s="37">
        <f t="shared" si="3"/>
        <v>0</v>
      </c>
      <c r="E13" s="37">
        <f t="shared" si="3"/>
        <v>-95</v>
      </c>
      <c r="F13" s="37">
        <f t="shared" si="3"/>
        <v>0</v>
      </c>
      <c r="G13" s="37">
        <f t="shared" si="3"/>
        <v>-12</v>
      </c>
      <c r="H13" s="37">
        <f t="shared" si="3"/>
        <v>0</v>
      </c>
      <c r="I13" s="37">
        <f t="shared" si="3"/>
        <v>0</v>
      </c>
      <c r="J13" s="37">
        <f>+SUM(J14:J17)</f>
        <v>-3845.2669999999994</v>
      </c>
      <c r="K13" s="79">
        <f>+(J13-B13)/B13</f>
        <v>0.028622888627270342</v>
      </c>
    </row>
    <row r="14" spans="1:11" ht="12.75">
      <c r="A14" s="21" t="s">
        <v>85</v>
      </c>
      <c r="B14" s="41">
        <f>'2013-14'!J14</f>
        <v>-6434.623</v>
      </c>
      <c r="C14" s="42">
        <f>'[15]Appendix2 1415 Feeder'!C15</f>
        <v>0</v>
      </c>
      <c r="D14" s="42">
        <f>'[15]Appendix2 1415 Feeder'!D15</f>
        <v>0</v>
      </c>
      <c r="E14" s="42">
        <f>'[15]Appendix2 1415 Feeder'!E15</f>
        <v>0</v>
      </c>
      <c r="F14" s="42">
        <f>'[15]Appendix2 1415 Feeder'!F15</f>
        <v>0</v>
      </c>
      <c r="G14" s="42">
        <f>'[15]Appendix2 1415 Feeder'!G15</f>
        <v>-12</v>
      </c>
      <c r="H14" s="42">
        <f>'[15]Appendix2 1415 Feeder'!H15</f>
        <v>0</v>
      </c>
      <c r="I14" s="42">
        <v>0</v>
      </c>
      <c r="J14" s="40">
        <f>+B14+SUM(C14:I14)</f>
        <v>-6446.623</v>
      </c>
      <c r="K14" s="80">
        <f>+(J14-B14)/B14</f>
        <v>0.0018649111222211465</v>
      </c>
    </row>
    <row r="15" spans="1:11" ht="12.75">
      <c r="A15" s="21" t="s">
        <v>86</v>
      </c>
      <c r="B15" s="41">
        <f>'2013-14'!J15</f>
        <v>876.4519999999999</v>
      </c>
      <c r="C15" s="42">
        <f>'[15]Appendix2 1415 Feeder'!C16</f>
        <v>0</v>
      </c>
      <c r="D15" s="42">
        <f>'[15]Appendix2 1415 Feeder'!D16</f>
        <v>0</v>
      </c>
      <c r="E15" s="42">
        <f>'[15]Appendix2 1415 Feeder'!E16</f>
        <v>0</v>
      </c>
      <c r="F15" s="42">
        <f>'[15]Appendix2 1415 Feeder'!F16</f>
        <v>0</v>
      </c>
      <c r="G15" s="42">
        <f>'[15]Appendix2 1415 Feeder'!G16</f>
        <v>0</v>
      </c>
      <c r="H15" s="42">
        <f>'[15]Appendix2 1415 Feeder'!H16</f>
        <v>0</v>
      </c>
      <c r="I15" s="42">
        <v>0</v>
      </c>
      <c r="J15" s="40">
        <f>+B15+SUM(C15:I15)</f>
        <v>876.4519999999999</v>
      </c>
      <c r="K15" s="80">
        <f>+(J15-B15)/B15</f>
        <v>0</v>
      </c>
    </row>
    <row r="16" spans="1:11" ht="12.75">
      <c r="A16" s="21" t="s">
        <v>87</v>
      </c>
      <c r="B16" s="41">
        <f>'2013-14'!J16</f>
        <v>172.982</v>
      </c>
      <c r="C16" s="42">
        <f>'[15]Appendix2 1415 Feeder'!C17</f>
        <v>0</v>
      </c>
      <c r="D16" s="42">
        <f>'[15]Appendix2 1415 Feeder'!D17</f>
        <v>0</v>
      </c>
      <c r="E16" s="42">
        <f>'[15]Appendix2 1415 Feeder'!E17</f>
        <v>-2</v>
      </c>
      <c r="F16" s="42">
        <f>'[15]Appendix2 1415 Feeder'!F17</f>
        <v>0</v>
      </c>
      <c r="G16" s="42">
        <f>'[15]Appendix2 1415 Feeder'!G17</f>
        <v>0</v>
      </c>
      <c r="H16" s="42">
        <f>'[15]Appendix2 1415 Feeder'!H17</f>
        <v>0</v>
      </c>
      <c r="I16" s="42">
        <v>0</v>
      </c>
      <c r="J16" s="40">
        <f>+B16+SUM(C16:I16)</f>
        <v>170.982</v>
      </c>
      <c r="K16" s="80">
        <f>+(J16-B16)/B16</f>
        <v>-0.011561896613520481</v>
      </c>
    </row>
    <row r="17" spans="1:11" ht="12.75">
      <c r="A17" s="21" t="s">
        <v>110</v>
      </c>
      <c r="B17" s="41">
        <f>'2013-14'!J17</f>
        <v>1646.922</v>
      </c>
      <c r="C17" s="42">
        <f>'[15]Appendix2 1415 Feeder'!C18</f>
        <v>0</v>
      </c>
      <c r="D17" s="42">
        <f>'[15]Appendix2 1415 Feeder'!D18</f>
        <v>0</v>
      </c>
      <c r="E17" s="42">
        <f>'[15]Appendix2 1415 Feeder'!E18</f>
        <v>-93</v>
      </c>
      <c r="F17" s="42">
        <f>'[15]Appendix2 1415 Feeder'!F18</f>
        <v>0</v>
      </c>
      <c r="G17" s="42">
        <f>'[15]Appendix2 1415 Feeder'!G18</f>
        <v>0</v>
      </c>
      <c r="H17" s="42">
        <f>'[15]Appendix2 1415 Feeder'!H18</f>
        <v>0</v>
      </c>
      <c r="I17" s="42">
        <v>0</v>
      </c>
      <c r="J17" s="40">
        <f>+B17+SUM(C17:I17)</f>
        <v>1553.922</v>
      </c>
      <c r="K17" s="80">
        <f>+(J17-B17)/B17</f>
        <v>-0.05646897667284789</v>
      </c>
    </row>
    <row r="18" spans="1:11" ht="12.75">
      <c r="A18" s="27"/>
      <c r="B18" s="36"/>
      <c r="C18" s="37"/>
      <c r="D18" s="37"/>
      <c r="E18" s="37"/>
      <c r="F18" s="37"/>
      <c r="G18" s="37"/>
      <c r="H18" s="37"/>
      <c r="I18" s="37"/>
      <c r="J18" s="37"/>
      <c r="K18" s="16"/>
    </row>
    <row r="19" spans="1:11" ht="12.75">
      <c r="A19" s="28" t="s">
        <v>191</v>
      </c>
      <c r="B19" s="36">
        <f aca="true" t="shared" si="4" ref="B19:I19">+SUM(B20:B25)</f>
        <v>7047.183000000001</v>
      </c>
      <c r="C19" s="37">
        <f t="shared" si="4"/>
        <v>0</v>
      </c>
      <c r="D19" s="37">
        <f t="shared" si="4"/>
        <v>0</v>
      </c>
      <c r="E19" s="37">
        <f t="shared" si="4"/>
        <v>-66</v>
      </c>
      <c r="F19" s="37">
        <f t="shared" si="4"/>
        <v>0</v>
      </c>
      <c r="G19" s="37">
        <f t="shared" si="4"/>
        <v>0</v>
      </c>
      <c r="H19" s="37">
        <f t="shared" si="4"/>
        <v>-43</v>
      </c>
      <c r="I19" s="37">
        <f t="shared" si="4"/>
        <v>-99</v>
      </c>
      <c r="J19" s="37">
        <f>+SUM(J20:J25)</f>
        <v>6839.183000000001</v>
      </c>
      <c r="K19" s="79">
        <f aca="true" t="shared" si="5" ref="K19:K25">+(J19-B19)/B19</f>
        <v>-0.029515339675441944</v>
      </c>
    </row>
    <row r="20" spans="1:11" ht="12.75">
      <c r="A20" s="11" t="s">
        <v>40</v>
      </c>
      <c r="B20" s="41">
        <f>'2013-14'!J20</f>
        <v>71.947</v>
      </c>
      <c r="C20" s="42">
        <f>'[16]Appendix2 1415 Feeder'!C15</f>
        <v>0</v>
      </c>
      <c r="D20" s="42">
        <f>'[16]Appendix2 1415 Feeder'!D15</f>
        <v>0</v>
      </c>
      <c r="E20" s="42">
        <f>'[16]Appendix2 1415 Feeder'!E15</f>
        <v>0</v>
      </c>
      <c r="F20" s="42">
        <f>'[16]Appendix2 1415 Feeder'!F15</f>
        <v>0</v>
      </c>
      <c r="G20" s="42">
        <f>'[16]Appendix2 1415 Feeder'!G15</f>
        <v>0</v>
      </c>
      <c r="H20" s="42">
        <f>'[16]Appendix2 1415 Feeder'!H15</f>
        <v>0</v>
      </c>
      <c r="I20" s="42">
        <v>0</v>
      </c>
      <c r="J20" s="40">
        <f aca="true" t="shared" si="6" ref="J20:J25">+B20+SUM(C20:I20)</f>
        <v>71.947</v>
      </c>
      <c r="K20" s="80">
        <f t="shared" si="5"/>
        <v>0</v>
      </c>
    </row>
    <row r="21" spans="1:11" ht="12.75">
      <c r="A21" s="11" t="s">
        <v>142</v>
      </c>
      <c r="B21" s="41">
        <f>'2013-14'!J21</f>
        <v>1186.9650000000001</v>
      </c>
      <c r="C21" s="42">
        <f>'[16]Appendix2 1415 Feeder'!C16</f>
        <v>0</v>
      </c>
      <c r="D21" s="42">
        <f>'[16]Appendix2 1415 Feeder'!D16</f>
        <v>0</v>
      </c>
      <c r="E21" s="42">
        <f>'[16]Appendix2 1415 Feeder'!E16</f>
        <v>-20</v>
      </c>
      <c r="F21" s="42">
        <f>'[16]Appendix2 1415 Feeder'!F16</f>
        <v>0</v>
      </c>
      <c r="G21" s="42">
        <f>'[16]Appendix2 1415 Feeder'!G16</f>
        <v>0</v>
      </c>
      <c r="H21" s="42">
        <f>'[16]Appendix2 1415 Feeder'!H16</f>
        <v>0</v>
      </c>
      <c r="I21" s="42">
        <v>0</v>
      </c>
      <c r="J21" s="40">
        <f t="shared" si="6"/>
        <v>1166.9650000000001</v>
      </c>
      <c r="K21" s="80">
        <f t="shared" si="5"/>
        <v>-0.016849696494841884</v>
      </c>
    </row>
    <row r="22" spans="1:11" ht="12.75">
      <c r="A22" s="11" t="s">
        <v>143</v>
      </c>
      <c r="B22" s="41">
        <f>'2013-14'!J22</f>
        <v>1488.759</v>
      </c>
      <c r="C22" s="42">
        <f>'[16]Appendix2 1415 Feeder'!C17</f>
        <v>0</v>
      </c>
      <c r="D22" s="42">
        <f>'[16]Appendix2 1415 Feeder'!D17</f>
        <v>0</v>
      </c>
      <c r="E22" s="42">
        <f>'[16]Appendix2 1415 Feeder'!E17</f>
        <v>0</v>
      </c>
      <c r="F22" s="42">
        <f>'[16]Appendix2 1415 Feeder'!F17</f>
        <v>0</v>
      </c>
      <c r="G22" s="42">
        <f>'[16]Appendix2 1415 Feeder'!G17</f>
        <v>0</v>
      </c>
      <c r="H22" s="42">
        <f>'[16]Appendix2 1415 Feeder'!H17</f>
        <v>0</v>
      </c>
      <c r="I22" s="42">
        <v>-70</v>
      </c>
      <c r="J22" s="40">
        <f t="shared" si="6"/>
        <v>1418.759</v>
      </c>
      <c r="K22" s="80">
        <f t="shared" si="5"/>
        <v>-0.0470190272569301</v>
      </c>
    </row>
    <row r="23" spans="1:11" ht="12.75">
      <c r="A23" s="11" t="s">
        <v>144</v>
      </c>
      <c r="B23" s="41">
        <f>'2013-14'!J23</f>
        <v>526.365</v>
      </c>
      <c r="C23" s="42">
        <f>'[16]Appendix2 1415 Feeder'!C18</f>
        <v>0</v>
      </c>
      <c r="D23" s="42">
        <f>'[16]Appendix2 1415 Feeder'!D18</f>
        <v>0</v>
      </c>
      <c r="E23" s="42">
        <f>'[16]Appendix2 1415 Feeder'!E18</f>
        <v>0</v>
      </c>
      <c r="F23" s="42">
        <f>'[16]Appendix2 1415 Feeder'!F18</f>
        <v>0</v>
      </c>
      <c r="G23" s="42">
        <f>'[16]Appendix2 1415 Feeder'!G18</f>
        <v>0</v>
      </c>
      <c r="H23" s="42">
        <f>'[16]Appendix2 1415 Feeder'!H18</f>
        <v>0</v>
      </c>
      <c r="I23" s="42">
        <v>0</v>
      </c>
      <c r="J23" s="40">
        <f t="shared" si="6"/>
        <v>526.365</v>
      </c>
      <c r="K23" s="80">
        <f t="shared" si="5"/>
        <v>0</v>
      </c>
    </row>
    <row r="24" spans="1:11" ht="12.75">
      <c r="A24" s="11" t="s">
        <v>146</v>
      </c>
      <c r="B24" s="41">
        <f>'2013-14'!J24</f>
        <v>1064.251</v>
      </c>
      <c r="C24" s="42">
        <f>'[16]Appendix2 1415 Feeder'!C19</f>
        <v>0</v>
      </c>
      <c r="D24" s="42">
        <f>'[16]Appendix2 1415 Feeder'!D19</f>
        <v>0</v>
      </c>
      <c r="E24" s="42">
        <f>'[16]Appendix2 1415 Feeder'!E19</f>
        <v>0</v>
      </c>
      <c r="F24" s="42">
        <f>'[16]Appendix2 1415 Feeder'!F19</f>
        <v>0</v>
      </c>
      <c r="G24" s="42">
        <f>'[16]Appendix2 1415 Feeder'!G19</f>
        <v>0</v>
      </c>
      <c r="H24" s="42">
        <f>'[16]Appendix2 1415 Feeder'!H19</f>
        <v>-43</v>
      </c>
      <c r="I24" s="42">
        <v>0</v>
      </c>
      <c r="J24" s="40">
        <f t="shared" si="6"/>
        <v>1021.251</v>
      </c>
      <c r="K24" s="80">
        <f t="shared" si="5"/>
        <v>-0.040404002439274195</v>
      </c>
    </row>
    <row r="25" spans="1:11" ht="12.75">
      <c r="A25" s="11" t="s">
        <v>145</v>
      </c>
      <c r="B25" s="41">
        <f>'2013-14'!J25</f>
        <v>2708.896</v>
      </c>
      <c r="C25" s="42">
        <f>'[16]Appendix2 1415 Feeder'!C20</f>
        <v>0</v>
      </c>
      <c r="D25" s="42">
        <f>'[16]Appendix2 1415 Feeder'!D20</f>
        <v>0</v>
      </c>
      <c r="E25" s="42">
        <f>'[16]Appendix2 1415 Feeder'!E20</f>
        <v>-46</v>
      </c>
      <c r="F25" s="42">
        <f>'[16]Appendix2 1415 Feeder'!F20</f>
        <v>0</v>
      </c>
      <c r="G25" s="42">
        <f>'[16]Appendix2 1415 Feeder'!G20</f>
        <v>0</v>
      </c>
      <c r="H25" s="42">
        <f>'[16]Appendix2 1415 Feeder'!H20</f>
        <v>0</v>
      </c>
      <c r="I25" s="42">
        <v>-29</v>
      </c>
      <c r="J25" s="40">
        <f t="shared" si="6"/>
        <v>2633.896</v>
      </c>
      <c r="K25" s="80">
        <f t="shared" si="5"/>
        <v>-0.027686555703873458</v>
      </c>
    </row>
    <row r="26" spans="1:11" ht="12.75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20"/>
    </row>
    <row r="27" spans="1:11" ht="12.75">
      <c r="A27" s="25" t="s">
        <v>36</v>
      </c>
      <c r="B27" s="34">
        <f aca="true" t="shared" si="7" ref="B27:I27">+B29+B42+B37</f>
        <v>7255.2677248499995</v>
      </c>
      <c r="C27" s="35">
        <f t="shared" si="7"/>
        <v>104.40130324250018</v>
      </c>
      <c r="D27" s="35">
        <f t="shared" si="7"/>
        <v>10</v>
      </c>
      <c r="E27" s="35">
        <f t="shared" si="7"/>
        <v>-85</v>
      </c>
      <c r="F27" s="35">
        <f t="shared" si="7"/>
        <v>0</v>
      </c>
      <c r="G27" s="35">
        <f t="shared" si="7"/>
        <v>0</v>
      </c>
      <c r="H27" s="35">
        <f t="shared" si="7"/>
        <v>0</v>
      </c>
      <c r="I27" s="35">
        <f t="shared" si="7"/>
        <v>0</v>
      </c>
      <c r="J27" s="35">
        <f>+J29+J42+J37</f>
        <v>7284.6690280924995</v>
      </c>
      <c r="K27" s="79">
        <f>+(J27-B27)/B27</f>
        <v>0.004052407761852496</v>
      </c>
    </row>
    <row r="28" spans="1:11" ht="12.75">
      <c r="A28" s="26"/>
      <c r="B28" s="36"/>
      <c r="C28" s="37"/>
      <c r="D28" s="37"/>
      <c r="E28" s="37"/>
      <c r="F28" s="37"/>
      <c r="G28" s="37"/>
      <c r="H28" s="37"/>
      <c r="I28" s="37"/>
      <c r="J28" s="37"/>
      <c r="K28" s="16"/>
    </row>
    <row r="29" spans="1:11" ht="12.75">
      <c r="A29" s="26" t="s">
        <v>7</v>
      </c>
      <c r="B29" s="36">
        <f aca="true" t="shared" si="8" ref="B29:I29">+SUM(B30:B35)</f>
        <v>2063.9210000000003</v>
      </c>
      <c r="C29" s="38">
        <f t="shared" si="8"/>
        <v>0</v>
      </c>
      <c r="D29" s="38">
        <f t="shared" si="8"/>
        <v>0</v>
      </c>
      <c r="E29" s="38">
        <f t="shared" si="8"/>
        <v>-34</v>
      </c>
      <c r="F29" s="38">
        <f t="shared" si="8"/>
        <v>0</v>
      </c>
      <c r="G29" s="38">
        <f t="shared" si="8"/>
        <v>0</v>
      </c>
      <c r="H29" s="38">
        <f t="shared" si="8"/>
        <v>0</v>
      </c>
      <c r="I29" s="38">
        <f t="shared" si="8"/>
        <v>0</v>
      </c>
      <c r="J29" s="38">
        <f>+SUM(J30:J35)</f>
        <v>2029.9210000000003</v>
      </c>
      <c r="K29" s="79">
        <f aca="true" t="shared" si="9" ref="K29:K35">+(J29-B29)/B29</f>
        <v>-0.016473498743411204</v>
      </c>
    </row>
    <row r="30" spans="1:11" ht="12.75">
      <c r="A30" s="10" t="s">
        <v>9</v>
      </c>
      <c r="B30" s="41">
        <f>'2013-14'!J30</f>
        <v>1283.228</v>
      </c>
      <c r="C30" s="42">
        <f>+'[23]Appendix2 1415 Feeder'!C15</f>
        <v>0</v>
      </c>
      <c r="D30" s="42">
        <f>+'[23]Appendix2 1415 Feeder'!D15</f>
        <v>0</v>
      </c>
      <c r="E30" s="42">
        <f>+'[23]Appendix2 1415 Feeder'!E15</f>
        <v>0</v>
      </c>
      <c r="F30" s="42">
        <f>+'[23]Appendix2 1415 Feeder'!F15</f>
        <v>0</v>
      </c>
      <c r="G30" s="42">
        <f>+'[23]Appendix2 1415 Feeder'!G15</f>
        <v>0</v>
      </c>
      <c r="H30" s="42">
        <f>+'[23]Appendix2 1415 Feeder'!H15</f>
        <v>0</v>
      </c>
      <c r="I30" s="42">
        <v>0</v>
      </c>
      <c r="J30" s="40">
        <f aca="true" t="shared" si="10" ref="J30:J35">+B30+SUM(C30:I30)</f>
        <v>1283.228</v>
      </c>
      <c r="K30" s="80">
        <f t="shared" si="9"/>
        <v>0</v>
      </c>
    </row>
    <row r="31" spans="1:11" ht="12.75">
      <c r="A31" s="10" t="s">
        <v>11</v>
      </c>
      <c r="B31" s="41">
        <f>'2013-14'!J31</f>
        <v>57.80099999999999</v>
      </c>
      <c r="C31" s="42">
        <f>+'[23]Appendix2 1415 Feeder'!C16</f>
        <v>0</v>
      </c>
      <c r="D31" s="42">
        <f>+'[23]Appendix2 1415 Feeder'!D16</f>
        <v>0</v>
      </c>
      <c r="E31" s="42">
        <f>+'[23]Appendix2 1415 Feeder'!E16</f>
        <v>0</v>
      </c>
      <c r="F31" s="42">
        <f>+'[23]Appendix2 1415 Feeder'!F16</f>
        <v>0</v>
      </c>
      <c r="G31" s="42">
        <f>+'[23]Appendix2 1415 Feeder'!G16</f>
        <v>0</v>
      </c>
      <c r="H31" s="42">
        <f>+'[23]Appendix2 1415 Feeder'!H16</f>
        <v>0</v>
      </c>
      <c r="I31" s="42">
        <v>0</v>
      </c>
      <c r="J31" s="40">
        <f t="shared" si="10"/>
        <v>57.80099999999999</v>
      </c>
      <c r="K31" s="80">
        <f t="shared" si="9"/>
        <v>0</v>
      </c>
    </row>
    <row r="32" spans="1:11" ht="12.75">
      <c r="A32" s="10" t="s">
        <v>12</v>
      </c>
      <c r="B32" s="41">
        <f>'2013-14'!J32</f>
        <v>66.025</v>
      </c>
      <c r="C32" s="42">
        <f>+'[23]Appendix2 1415 Feeder'!C17</f>
        <v>0</v>
      </c>
      <c r="D32" s="42">
        <f>+'[23]Appendix2 1415 Feeder'!D17</f>
        <v>0</v>
      </c>
      <c r="E32" s="42">
        <f>+'[23]Appendix2 1415 Feeder'!E17</f>
        <v>0</v>
      </c>
      <c r="F32" s="42">
        <f>+'[23]Appendix2 1415 Feeder'!F17</f>
        <v>0</v>
      </c>
      <c r="G32" s="42">
        <f>+'[23]Appendix2 1415 Feeder'!G17</f>
        <v>0</v>
      </c>
      <c r="H32" s="42">
        <f>+'[23]Appendix2 1415 Feeder'!H17</f>
        <v>0</v>
      </c>
      <c r="I32" s="42">
        <v>0</v>
      </c>
      <c r="J32" s="40">
        <f t="shared" si="10"/>
        <v>66.025</v>
      </c>
      <c r="K32" s="80">
        <f t="shared" si="9"/>
        <v>0</v>
      </c>
    </row>
    <row r="33" spans="1:11" ht="12.75">
      <c r="A33" s="10" t="s">
        <v>8</v>
      </c>
      <c r="B33" s="41">
        <f>'2013-14'!J33</f>
        <v>307.389</v>
      </c>
      <c r="C33" s="42">
        <f>+'[23]Appendix2 1415 Feeder'!C18</f>
        <v>0</v>
      </c>
      <c r="D33" s="42">
        <f>+'[23]Appendix2 1415 Feeder'!D18</f>
        <v>0</v>
      </c>
      <c r="E33" s="42">
        <f>+'[23]Appendix2 1415 Feeder'!E18</f>
        <v>-4</v>
      </c>
      <c r="F33" s="42">
        <f>+'[23]Appendix2 1415 Feeder'!F18</f>
        <v>0</v>
      </c>
      <c r="G33" s="42">
        <f>+'[23]Appendix2 1415 Feeder'!G18</f>
        <v>0</v>
      </c>
      <c r="H33" s="42">
        <f>+'[23]Appendix2 1415 Feeder'!H18</f>
        <v>0</v>
      </c>
      <c r="I33" s="42">
        <v>0</v>
      </c>
      <c r="J33" s="40">
        <f t="shared" si="10"/>
        <v>303.389</v>
      </c>
      <c r="K33" s="80">
        <f t="shared" si="9"/>
        <v>-0.01301282739460423</v>
      </c>
    </row>
    <row r="34" spans="1:11" ht="12.75">
      <c r="A34" s="10" t="s">
        <v>13</v>
      </c>
      <c r="B34" s="41">
        <f>'2013-14'!J34</f>
        <v>65.68299999999999</v>
      </c>
      <c r="C34" s="42">
        <f>+'[23]Appendix2 1415 Feeder'!C19</f>
        <v>0</v>
      </c>
      <c r="D34" s="42">
        <f>+'[23]Appendix2 1415 Feeder'!D19</f>
        <v>0</v>
      </c>
      <c r="E34" s="42">
        <f>+'[23]Appendix2 1415 Feeder'!E19</f>
        <v>0</v>
      </c>
      <c r="F34" s="42">
        <f>+'[23]Appendix2 1415 Feeder'!F19</f>
        <v>0</v>
      </c>
      <c r="G34" s="42">
        <f>+'[23]Appendix2 1415 Feeder'!G19</f>
        <v>0</v>
      </c>
      <c r="H34" s="42">
        <f>+'[23]Appendix2 1415 Feeder'!H19</f>
        <v>0</v>
      </c>
      <c r="I34" s="42">
        <v>0</v>
      </c>
      <c r="J34" s="40">
        <f t="shared" si="10"/>
        <v>65.68299999999999</v>
      </c>
      <c r="K34" s="80">
        <f t="shared" si="9"/>
        <v>0</v>
      </c>
    </row>
    <row r="35" spans="1:11" ht="12.75">
      <c r="A35" s="10" t="s">
        <v>147</v>
      </c>
      <c r="B35" s="41">
        <f>'2013-14'!J35</f>
        <v>283.795</v>
      </c>
      <c r="C35" s="42">
        <f>+'[23]Appendix2 1415 Feeder'!C20</f>
        <v>0</v>
      </c>
      <c r="D35" s="42">
        <f>+'[23]Appendix2 1415 Feeder'!D20</f>
        <v>0</v>
      </c>
      <c r="E35" s="42">
        <f>+'[23]Appendix2 1415 Feeder'!E20</f>
        <v>-30</v>
      </c>
      <c r="F35" s="42">
        <f>+'[23]Appendix2 1415 Feeder'!F20</f>
        <v>0</v>
      </c>
      <c r="G35" s="42">
        <f>+'[23]Appendix2 1415 Feeder'!G20</f>
        <v>0</v>
      </c>
      <c r="H35" s="42">
        <f>+'[23]Appendix2 1415 Feeder'!H20</f>
        <v>0</v>
      </c>
      <c r="I35" s="42">
        <v>0</v>
      </c>
      <c r="J35" s="40">
        <f t="shared" si="10"/>
        <v>253.79500000000002</v>
      </c>
      <c r="K35" s="80">
        <f t="shared" si="9"/>
        <v>-0.10571010764812629</v>
      </c>
    </row>
    <row r="36" spans="1:11" ht="12.75">
      <c r="A36" s="10"/>
      <c r="B36" s="41"/>
      <c r="C36" s="42"/>
      <c r="D36" s="42"/>
      <c r="E36" s="42"/>
      <c r="F36" s="42"/>
      <c r="G36" s="42"/>
      <c r="H36" s="42"/>
      <c r="I36" s="42"/>
      <c r="J36" s="40"/>
      <c r="K36" s="80"/>
    </row>
    <row r="37" spans="1:11" ht="12.75">
      <c r="A37" s="26" t="s">
        <v>152</v>
      </c>
      <c r="B37" s="36">
        <f aca="true" t="shared" si="11" ref="B37:I37">+SUM(B38:B40)</f>
        <v>3142.5367248499997</v>
      </c>
      <c r="C37" s="38">
        <f t="shared" si="11"/>
        <v>104.40130324250018</v>
      </c>
      <c r="D37" s="38">
        <f t="shared" si="11"/>
        <v>0</v>
      </c>
      <c r="E37" s="38">
        <f t="shared" si="11"/>
        <v>-15</v>
      </c>
      <c r="F37" s="38">
        <f t="shared" si="11"/>
        <v>0</v>
      </c>
      <c r="G37" s="38">
        <f t="shared" si="11"/>
        <v>0</v>
      </c>
      <c r="H37" s="38">
        <f t="shared" si="11"/>
        <v>0</v>
      </c>
      <c r="I37" s="38">
        <f t="shared" si="11"/>
        <v>0</v>
      </c>
      <c r="J37" s="38">
        <f>+SUM(J38:J40)</f>
        <v>3231.9380280924997</v>
      </c>
      <c r="K37" s="79">
        <f>+(J37-B37)/B37</f>
        <v>0.028448769599269317</v>
      </c>
    </row>
    <row r="38" spans="1:11" ht="12.75">
      <c r="A38" s="11" t="s">
        <v>57</v>
      </c>
      <c r="B38" s="41">
        <f>'2013-14'!J38</f>
        <v>123.131</v>
      </c>
      <c r="C38" s="42">
        <f>'[20]Appendix2 1415 Feeder'!C15</f>
        <v>0</v>
      </c>
      <c r="D38" s="42">
        <f>'[20]Appendix2 1415 Feeder'!D15</f>
        <v>0</v>
      </c>
      <c r="E38" s="42">
        <f>'[20]Appendix2 1415 Feeder'!E15</f>
        <v>0</v>
      </c>
      <c r="F38" s="42">
        <f>'[20]Appendix2 1415 Feeder'!F15</f>
        <v>0</v>
      </c>
      <c r="G38" s="42">
        <f>'[20]Appendix2 1415 Feeder'!G15</f>
        <v>0</v>
      </c>
      <c r="H38" s="42">
        <f>'[20]Appendix2 1415 Feeder'!H15</f>
        <v>0</v>
      </c>
      <c r="I38" s="42">
        <v>0</v>
      </c>
      <c r="J38" s="40">
        <f>+B38+SUM(C38:I38)</f>
        <v>123.131</v>
      </c>
      <c r="K38" s="80">
        <f>+(J38-B38)/B38</f>
        <v>0</v>
      </c>
    </row>
    <row r="39" spans="1:11" ht="12.75">
      <c r="A39" s="11" t="s">
        <v>58</v>
      </c>
      <c r="B39" s="41">
        <f>'2013-14'!J39</f>
        <v>2919.92772485</v>
      </c>
      <c r="C39" s="42">
        <f>'[20]Appendix2 1415 Feeder'!C16</f>
        <v>104.40130324250018</v>
      </c>
      <c r="D39" s="42">
        <f>'[20]Appendix2 1415 Feeder'!D16</f>
        <v>0</v>
      </c>
      <c r="E39" s="42">
        <f>'[20]Appendix2 1415 Feeder'!E16</f>
        <v>-13</v>
      </c>
      <c r="F39" s="42">
        <f>'[20]Appendix2 1415 Feeder'!F16</f>
        <v>0</v>
      </c>
      <c r="G39" s="42">
        <f>'[20]Appendix2 1415 Feeder'!G16</f>
        <v>0</v>
      </c>
      <c r="H39" s="42">
        <f>'[20]Appendix2 1415 Feeder'!H16</f>
        <v>0</v>
      </c>
      <c r="I39" s="42">
        <v>0</v>
      </c>
      <c r="J39" s="40">
        <f>+B39+SUM(C39:I39)</f>
        <v>3011.3290280925</v>
      </c>
      <c r="K39" s="79">
        <f>+(J39-B39)/B39</f>
        <v>0.031302590973273293</v>
      </c>
    </row>
    <row r="40" spans="1:11" ht="12.75">
      <c r="A40" s="11" t="s">
        <v>84</v>
      </c>
      <c r="B40" s="41">
        <f>'2013-14'!J40</f>
        <v>99.478</v>
      </c>
      <c r="C40" s="42">
        <f>'[20]Appendix2 1415 Feeder'!C17</f>
        <v>0</v>
      </c>
      <c r="D40" s="42">
        <f>'[20]Appendix2 1415 Feeder'!D17</f>
        <v>0</v>
      </c>
      <c r="E40" s="42">
        <f>'[20]Appendix2 1415 Feeder'!E17</f>
        <v>-2</v>
      </c>
      <c r="F40" s="42">
        <f>'[20]Appendix2 1415 Feeder'!F17</f>
        <v>0</v>
      </c>
      <c r="G40" s="42">
        <f>'[20]Appendix2 1415 Feeder'!G17</f>
        <v>0</v>
      </c>
      <c r="H40" s="42">
        <f>'[20]Appendix2 1415 Feeder'!H17</f>
        <v>0</v>
      </c>
      <c r="I40" s="42">
        <v>0</v>
      </c>
      <c r="J40" s="40">
        <f>+B40+SUM(C40:I40)</f>
        <v>97.478</v>
      </c>
      <c r="K40" s="79">
        <f>+(J40-B40)/B40</f>
        <v>-0.02010494782766039</v>
      </c>
    </row>
    <row r="41" spans="1:11" ht="12.75">
      <c r="A41" s="11"/>
      <c r="B41" s="41"/>
      <c r="C41" s="42"/>
      <c r="D41" s="42"/>
      <c r="E41" s="42"/>
      <c r="F41" s="42"/>
      <c r="G41" s="42"/>
      <c r="H41" s="42"/>
      <c r="I41" s="42"/>
      <c r="J41" s="40"/>
      <c r="K41" s="79"/>
    </row>
    <row r="42" spans="1:11" ht="12.75">
      <c r="A42" s="26" t="s">
        <v>148</v>
      </c>
      <c r="B42" s="36">
        <f aca="true" t="shared" si="12" ref="B42:I42">SUM(B43:B47)</f>
        <v>2048.81</v>
      </c>
      <c r="C42" s="37">
        <f t="shared" si="12"/>
        <v>0</v>
      </c>
      <c r="D42" s="37">
        <f t="shared" si="12"/>
        <v>10</v>
      </c>
      <c r="E42" s="37">
        <f t="shared" si="12"/>
        <v>-36</v>
      </c>
      <c r="F42" s="37">
        <f t="shared" si="12"/>
        <v>0</v>
      </c>
      <c r="G42" s="37">
        <f t="shared" si="12"/>
        <v>0</v>
      </c>
      <c r="H42" s="37">
        <f t="shared" si="12"/>
        <v>0</v>
      </c>
      <c r="I42" s="37">
        <f t="shared" si="12"/>
        <v>0</v>
      </c>
      <c r="J42" s="37">
        <f>SUM(J43:J47)</f>
        <v>2022.81</v>
      </c>
      <c r="K42" s="79">
        <f aca="true" t="shared" si="13" ref="K42:K47">+(J42-B42)/B42</f>
        <v>-0.01269029338982141</v>
      </c>
    </row>
    <row r="43" spans="1:11" ht="12.75">
      <c r="A43" s="83" t="s">
        <v>149</v>
      </c>
      <c r="B43" s="41">
        <f>'2013-14'!J43</f>
        <v>156.583</v>
      </c>
      <c r="C43" s="42">
        <f>'[19]Appendix2 1415 Feeder'!C15</f>
        <v>0</v>
      </c>
      <c r="D43" s="42">
        <f>'[19]Appendix2 1415 Feeder'!D15</f>
        <v>10</v>
      </c>
      <c r="E43" s="42">
        <f>'[19]Appendix2 1415 Feeder'!E15</f>
        <v>-36</v>
      </c>
      <c r="F43" s="42">
        <f>'[19]Appendix2 1415 Feeder'!F15</f>
        <v>0</v>
      </c>
      <c r="G43" s="42">
        <f>'[19]Appendix2 1415 Feeder'!G15</f>
        <v>0</v>
      </c>
      <c r="H43" s="42">
        <f>'[19]Appendix2 1415 Feeder'!H15</f>
        <v>0</v>
      </c>
      <c r="I43" s="42">
        <v>0</v>
      </c>
      <c r="J43" s="40">
        <f>+B43+SUM(C43:I43)</f>
        <v>130.583</v>
      </c>
      <c r="K43" s="80">
        <f t="shared" si="13"/>
        <v>-0.16604612250372008</v>
      </c>
    </row>
    <row r="44" spans="1:11" ht="12.75">
      <c r="A44" s="83" t="s">
        <v>150</v>
      </c>
      <c r="B44" s="41">
        <f>'2013-14'!J44</f>
        <v>-67.002</v>
      </c>
      <c r="C44" s="42">
        <f>'[19]Appendix2 1415 Feeder'!C16</f>
        <v>0</v>
      </c>
      <c r="D44" s="42">
        <f>'[19]Appendix2 1415 Feeder'!D16</f>
        <v>0</v>
      </c>
      <c r="E44" s="42">
        <f>'[19]Appendix2 1415 Feeder'!E16</f>
        <v>0</v>
      </c>
      <c r="F44" s="42">
        <f>'[19]Appendix2 1415 Feeder'!F16</f>
        <v>0</v>
      </c>
      <c r="G44" s="42">
        <f>'[19]Appendix2 1415 Feeder'!G16</f>
        <v>0</v>
      </c>
      <c r="H44" s="42">
        <f>'[19]Appendix2 1415 Feeder'!H16</f>
        <v>0</v>
      </c>
      <c r="I44" s="42">
        <v>0</v>
      </c>
      <c r="J44" s="40">
        <f>+B44+SUM(C44:I44)</f>
        <v>-67.002</v>
      </c>
      <c r="K44" s="80">
        <f t="shared" si="13"/>
        <v>0</v>
      </c>
    </row>
    <row r="45" spans="1:11" ht="12.75">
      <c r="A45" s="83" t="s">
        <v>151</v>
      </c>
      <c r="B45" s="41">
        <f>'2013-14'!J45</f>
        <v>1645.609</v>
      </c>
      <c r="C45" s="42">
        <f>'[19]Appendix2 1415 Feeder'!C17</f>
        <v>0</v>
      </c>
      <c r="D45" s="42">
        <f>'[19]Appendix2 1415 Feeder'!D17</f>
        <v>0</v>
      </c>
      <c r="E45" s="42">
        <f>'[19]Appendix2 1415 Feeder'!E17</f>
        <v>0</v>
      </c>
      <c r="F45" s="42">
        <f>'[19]Appendix2 1415 Feeder'!F17</f>
        <v>0</v>
      </c>
      <c r="G45" s="42">
        <f>'[19]Appendix2 1415 Feeder'!G17</f>
        <v>0</v>
      </c>
      <c r="H45" s="42">
        <f>'[19]Appendix2 1415 Feeder'!H17</f>
        <v>0</v>
      </c>
      <c r="I45" s="42">
        <v>0</v>
      </c>
      <c r="J45" s="40">
        <f>+B45+SUM(C45:I45)</f>
        <v>1645.609</v>
      </c>
      <c r="K45" s="80">
        <f t="shared" si="13"/>
        <v>0</v>
      </c>
    </row>
    <row r="46" spans="1:11" ht="12.75">
      <c r="A46" s="83" t="s">
        <v>107</v>
      </c>
      <c r="B46" s="41">
        <f>'2013-14'!J46</f>
        <v>91.179</v>
      </c>
      <c r="C46" s="42">
        <f>'[19]Appendix2 1415 Feeder'!C18</f>
        <v>0</v>
      </c>
      <c r="D46" s="42">
        <f>'[19]Appendix2 1415 Feeder'!D18</f>
        <v>0</v>
      </c>
      <c r="E46" s="42">
        <f>'[19]Appendix2 1415 Feeder'!E18</f>
        <v>0</v>
      </c>
      <c r="F46" s="42">
        <f>'[19]Appendix2 1415 Feeder'!F18</f>
        <v>0</v>
      </c>
      <c r="G46" s="42">
        <f>'[19]Appendix2 1415 Feeder'!G18</f>
        <v>0</v>
      </c>
      <c r="H46" s="42">
        <f>'[19]Appendix2 1415 Feeder'!H18</f>
        <v>0</v>
      </c>
      <c r="I46" s="42">
        <v>0</v>
      </c>
      <c r="J46" s="40">
        <f>+B46+SUM(C46:I46)</f>
        <v>91.179</v>
      </c>
      <c r="K46" s="80">
        <f t="shared" si="13"/>
        <v>0</v>
      </c>
    </row>
    <row r="47" spans="1:11" ht="12.75">
      <c r="A47" s="83" t="s">
        <v>148</v>
      </c>
      <c r="B47" s="41">
        <f>'2013-14'!J47</f>
        <v>222.441</v>
      </c>
      <c r="C47" s="42">
        <f>'[19]Appendix2 1415 Feeder'!C19</f>
        <v>0</v>
      </c>
      <c r="D47" s="42">
        <f>'[19]Appendix2 1415 Feeder'!D19</f>
        <v>0</v>
      </c>
      <c r="E47" s="42">
        <f>'[19]Appendix2 1415 Feeder'!E19</f>
        <v>0</v>
      </c>
      <c r="F47" s="42">
        <f>'[19]Appendix2 1415 Feeder'!F19</f>
        <v>0</v>
      </c>
      <c r="G47" s="42">
        <f>'[19]Appendix2 1415 Feeder'!G19</f>
        <v>0</v>
      </c>
      <c r="H47" s="42">
        <f>'[19]Appendix2 1415 Feeder'!H19</f>
        <v>0</v>
      </c>
      <c r="I47" s="42">
        <v>0</v>
      </c>
      <c r="J47" s="40">
        <f>+B47+SUM(C47:I47)</f>
        <v>222.441</v>
      </c>
      <c r="K47" s="80">
        <f t="shared" si="13"/>
        <v>0</v>
      </c>
    </row>
    <row r="48" spans="1:11" ht="12.75">
      <c r="A48" s="83"/>
      <c r="B48" s="39"/>
      <c r="C48" s="40"/>
      <c r="D48" s="40"/>
      <c r="E48" s="40"/>
      <c r="F48" s="40"/>
      <c r="G48" s="40"/>
      <c r="H48" s="40"/>
      <c r="I48" s="40"/>
      <c r="J48" s="40"/>
      <c r="K48" s="16"/>
    </row>
    <row r="49" spans="1:11" ht="12.75">
      <c r="A49" s="31" t="s">
        <v>29</v>
      </c>
      <c r="B49" s="36">
        <f aca="true" t="shared" si="14" ref="B49:I49">+B51+B58+B70+B76</f>
        <v>6032.755649999999</v>
      </c>
      <c r="C49" s="37">
        <f t="shared" si="14"/>
        <v>71.26</v>
      </c>
      <c r="D49" s="37">
        <f t="shared" si="14"/>
        <v>-220</v>
      </c>
      <c r="E49" s="37">
        <f t="shared" si="14"/>
        <v>-418.03725</v>
      </c>
      <c r="F49" s="37">
        <f t="shared" si="14"/>
        <v>-20</v>
      </c>
      <c r="G49" s="37">
        <f t="shared" si="14"/>
        <v>-291.065</v>
      </c>
      <c r="H49" s="37">
        <f t="shared" si="14"/>
        <v>-54</v>
      </c>
      <c r="I49" s="37">
        <f t="shared" si="14"/>
        <v>-88</v>
      </c>
      <c r="J49" s="37">
        <f>+J51+J58+J70+J76</f>
        <v>5012.9133999999995</v>
      </c>
      <c r="K49" s="79">
        <f>+(J49-B49)/B49</f>
        <v>-0.16905081345371578</v>
      </c>
    </row>
    <row r="50" spans="1:11" ht="12.75">
      <c r="A50" s="27"/>
      <c r="B50" s="47"/>
      <c r="C50" s="48"/>
      <c r="D50" s="48"/>
      <c r="E50" s="48"/>
      <c r="F50" s="48"/>
      <c r="G50" s="48"/>
      <c r="H50" s="48"/>
      <c r="I50" s="48"/>
      <c r="J50" s="48"/>
      <c r="K50" s="16"/>
    </row>
    <row r="51" spans="1:11" ht="12.75">
      <c r="A51" s="26" t="s">
        <v>30</v>
      </c>
      <c r="B51" s="36">
        <f aca="true" t="shared" si="15" ref="B51:I51">+SUM(B52:B56)</f>
        <v>1454.9049999999997</v>
      </c>
      <c r="C51" s="38">
        <f t="shared" si="15"/>
        <v>0</v>
      </c>
      <c r="D51" s="38">
        <f t="shared" si="15"/>
        <v>0</v>
      </c>
      <c r="E51" s="38">
        <f t="shared" si="15"/>
        <v>0</v>
      </c>
      <c r="F51" s="38">
        <f t="shared" si="15"/>
        <v>-20</v>
      </c>
      <c r="G51" s="38">
        <f t="shared" si="15"/>
        <v>0</v>
      </c>
      <c r="H51" s="38">
        <f t="shared" si="15"/>
        <v>-54</v>
      </c>
      <c r="I51" s="38">
        <f t="shared" si="15"/>
        <v>-88</v>
      </c>
      <c r="J51" s="38">
        <f>+SUM(J52:J56)</f>
        <v>1292.9049999999997</v>
      </c>
      <c r="K51" s="79">
        <f aca="true" t="shared" si="16" ref="K51:K56">+(J51-B51)/B51</f>
        <v>-0.11134747629570317</v>
      </c>
    </row>
    <row r="52" spans="1:11" ht="12.75">
      <c r="A52" s="10" t="s">
        <v>31</v>
      </c>
      <c r="B52" s="41">
        <f>'2013-14'!J52</f>
        <v>602.76</v>
      </c>
      <c r="C52" s="42">
        <f>'[18]Appendix2 1415 Feeder'!C15</f>
        <v>0</v>
      </c>
      <c r="D52" s="42">
        <f>'[18]Appendix2 1415 Feeder'!D15</f>
        <v>0</v>
      </c>
      <c r="E52" s="42">
        <f>'[18]Appendix2 1415 Feeder'!E15</f>
        <v>0</v>
      </c>
      <c r="F52" s="42">
        <f>'[18]Appendix2 1415 Feeder'!F15</f>
        <v>0</v>
      </c>
      <c r="G52" s="42">
        <f>'[18]Appendix2 1415 Feeder'!G15</f>
        <v>0</v>
      </c>
      <c r="H52" s="42">
        <f>'[18]Appendix2 1415 Feeder'!H15</f>
        <v>-54</v>
      </c>
      <c r="I52" s="42">
        <v>-20</v>
      </c>
      <c r="J52" s="40">
        <f>+B52+SUM(C52:I52)</f>
        <v>528.76</v>
      </c>
      <c r="K52" s="80">
        <f t="shared" si="16"/>
        <v>-0.1227685977835291</v>
      </c>
    </row>
    <row r="53" spans="1:11" ht="12.75">
      <c r="A53" s="10" t="s">
        <v>32</v>
      </c>
      <c r="B53" s="41">
        <f>'2013-14'!J53</f>
        <v>564.7719999999999</v>
      </c>
      <c r="C53" s="42">
        <f>'[18]Appendix2 1415 Feeder'!C16</f>
        <v>0</v>
      </c>
      <c r="D53" s="42">
        <f>'[18]Appendix2 1415 Feeder'!D16</f>
        <v>0</v>
      </c>
      <c r="E53" s="42">
        <f>'[18]Appendix2 1415 Feeder'!E16</f>
        <v>0</v>
      </c>
      <c r="F53" s="42">
        <f>'[18]Appendix2 1415 Feeder'!F16</f>
        <v>0</v>
      </c>
      <c r="G53" s="42">
        <f>'[18]Appendix2 1415 Feeder'!G16</f>
        <v>0</v>
      </c>
      <c r="H53" s="42">
        <f>'[18]Appendix2 1415 Feeder'!H16</f>
        <v>0</v>
      </c>
      <c r="I53" s="42">
        <v>-68</v>
      </c>
      <c r="J53" s="40">
        <f>+B53+SUM(C53:I53)</f>
        <v>496.77199999999993</v>
      </c>
      <c r="K53" s="80">
        <f t="shared" si="16"/>
        <v>-0.12040256953248392</v>
      </c>
    </row>
    <row r="54" spans="1:11" ht="12.75">
      <c r="A54" s="10" t="s">
        <v>33</v>
      </c>
      <c r="B54" s="41">
        <f>'2013-14'!J54</f>
        <v>700.1379999999999</v>
      </c>
      <c r="C54" s="42">
        <f>'[18]Appendix2 1415 Feeder'!C17</f>
        <v>0</v>
      </c>
      <c r="D54" s="42">
        <f>'[18]Appendix2 1415 Feeder'!D17</f>
        <v>0</v>
      </c>
      <c r="E54" s="42">
        <f>'[18]Appendix2 1415 Feeder'!E17</f>
        <v>0</v>
      </c>
      <c r="F54" s="42">
        <f>'[18]Appendix2 1415 Feeder'!F17</f>
        <v>0</v>
      </c>
      <c r="G54" s="42">
        <f>'[18]Appendix2 1415 Feeder'!G17</f>
        <v>0</v>
      </c>
      <c r="H54" s="42">
        <f>'[18]Appendix2 1415 Feeder'!H17</f>
        <v>0</v>
      </c>
      <c r="I54" s="42">
        <v>0</v>
      </c>
      <c r="J54" s="40">
        <f>+B54+SUM(C54:I54)</f>
        <v>700.1379999999999</v>
      </c>
      <c r="K54" s="80">
        <f t="shared" si="16"/>
        <v>0</v>
      </c>
    </row>
    <row r="55" spans="1:11" ht="12.75">
      <c r="A55" s="27" t="s">
        <v>113</v>
      </c>
      <c r="B55" s="41">
        <f>'2013-14'!J55</f>
        <v>-532.979</v>
      </c>
      <c r="C55" s="42">
        <f>'[18]Appendix2 1415 Feeder'!C18</f>
        <v>0</v>
      </c>
      <c r="D55" s="42">
        <f>'[18]Appendix2 1415 Feeder'!D18</f>
        <v>0</v>
      </c>
      <c r="E55" s="42">
        <f>'[18]Appendix2 1415 Feeder'!E18</f>
        <v>0</v>
      </c>
      <c r="F55" s="42">
        <f>'[18]Appendix2 1415 Feeder'!F18</f>
        <v>-20</v>
      </c>
      <c r="G55" s="42">
        <f>'[18]Appendix2 1415 Feeder'!G18</f>
        <v>0</v>
      </c>
      <c r="H55" s="42">
        <f>'[18]Appendix2 1415 Feeder'!H18</f>
        <v>0</v>
      </c>
      <c r="I55" s="42">
        <v>0</v>
      </c>
      <c r="J55" s="40">
        <f>+B55+SUM(C55:I55)</f>
        <v>-552.979</v>
      </c>
      <c r="K55" s="80">
        <f t="shared" si="16"/>
        <v>0.037524930625784506</v>
      </c>
    </row>
    <row r="56" spans="1:11" ht="12.75">
      <c r="A56" s="10" t="s">
        <v>34</v>
      </c>
      <c r="B56" s="41">
        <f>'2013-14'!J56</f>
        <v>120.214</v>
      </c>
      <c r="C56" s="42">
        <f>'[18]Appendix2 1415 Feeder'!C19</f>
        <v>0</v>
      </c>
      <c r="D56" s="42">
        <f>'[18]Appendix2 1415 Feeder'!D19</f>
        <v>0</v>
      </c>
      <c r="E56" s="42">
        <f>'[18]Appendix2 1415 Feeder'!E19</f>
        <v>0</v>
      </c>
      <c r="F56" s="42">
        <f>'[18]Appendix2 1415 Feeder'!F19</f>
        <v>0</v>
      </c>
      <c r="G56" s="42">
        <f>'[18]Appendix2 1415 Feeder'!G19</f>
        <v>0</v>
      </c>
      <c r="H56" s="42">
        <f>'[18]Appendix2 1415 Feeder'!H19</f>
        <v>0</v>
      </c>
      <c r="I56" s="42">
        <v>0</v>
      </c>
      <c r="J56" s="40">
        <f>+B56+SUM(C56:I56)</f>
        <v>120.214</v>
      </c>
      <c r="K56" s="80">
        <f t="shared" si="16"/>
        <v>0</v>
      </c>
    </row>
    <row r="57" spans="1:11" ht="12.75">
      <c r="A57" s="27"/>
      <c r="B57" s="47"/>
      <c r="C57" s="48"/>
      <c r="D57" s="48"/>
      <c r="E57" s="48"/>
      <c r="F57" s="48"/>
      <c r="G57" s="48"/>
      <c r="H57" s="48"/>
      <c r="I57" s="48"/>
      <c r="J57" s="48"/>
      <c r="K57" s="16"/>
    </row>
    <row r="58" spans="1:11" ht="12.75">
      <c r="A58" s="26" t="s">
        <v>138</v>
      </c>
      <c r="B58" s="36">
        <f aca="true" t="shared" si="17" ref="B58:I58">+SUM(B59:B68)</f>
        <v>-1388.8110000000001</v>
      </c>
      <c r="C58" s="37">
        <f t="shared" si="17"/>
        <v>64.26</v>
      </c>
      <c r="D58" s="37">
        <f t="shared" si="17"/>
        <v>-220</v>
      </c>
      <c r="E58" s="37">
        <f t="shared" si="17"/>
        <v>-340</v>
      </c>
      <c r="F58" s="37">
        <f t="shared" si="17"/>
        <v>0</v>
      </c>
      <c r="G58" s="37">
        <f t="shared" si="17"/>
        <v>-208.065</v>
      </c>
      <c r="H58" s="37">
        <f t="shared" si="17"/>
        <v>0</v>
      </c>
      <c r="I58" s="37">
        <f t="shared" si="17"/>
        <v>0</v>
      </c>
      <c r="J58" s="37">
        <f>+SUM(J59:J68)</f>
        <v>-2092.616</v>
      </c>
      <c r="K58" s="79">
        <f aca="true" t="shared" si="18" ref="K58:K68">+(J58-B58)/B58</f>
        <v>0.5067680195505362</v>
      </c>
    </row>
    <row r="59" spans="1:11" ht="12.75">
      <c r="A59" s="84" t="s">
        <v>160</v>
      </c>
      <c r="B59" s="41">
        <f>'2013-14'!J59</f>
        <v>-1857.532</v>
      </c>
      <c r="C59" s="42">
        <f>+'[25]Appendix2 1415 Feeder'!C15</f>
        <v>36.414</v>
      </c>
      <c r="D59" s="42">
        <f>+'[25]Appendix2 1415 Feeder'!D15</f>
        <v>0</v>
      </c>
      <c r="E59" s="42">
        <f>+'[25]Appendix2 1415 Feeder'!E15</f>
        <v>0</v>
      </c>
      <c r="F59" s="42">
        <f>+'[25]Appendix2 1415 Feeder'!F15</f>
        <v>0</v>
      </c>
      <c r="G59" s="42">
        <f>+'[25]Appendix2 1415 Feeder'!G15</f>
        <v>-77</v>
      </c>
      <c r="H59" s="42">
        <f>+'[25]Appendix2 1415 Feeder'!H15</f>
        <v>0</v>
      </c>
      <c r="I59" s="42">
        <v>0</v>
      </c>
      <c r="J59" s="40">
        <f>+B59+SUM(C59:I59)</f>
        <v>-1898.118</v>
      </c>
      <c r="K59" s="80">
        <f t="shared" si="18"/>
        <v>0.02184942170579027</v>
      </c>
    </row>
    <row r="60" spans="1:11" ht="12.75">
      <c r="A60" s="84" t="s">
        <v>153</v>
      </c>
      <c r="B60" s="41">
        <f>'2013-14'!J60</f>
        <v>-4473.469</v>
      </c>
      <c r="C60" s="42">
        <f>+'[25]Appendix2 1415 Feeder'!C16</f>
        <v>0</v>
      </c>
      <c r="D60" s="42">
        <f>+'[25]Appendix2 1415 Feeder'!D16</f>
        <v>-220</v>
      </c>
      <c r="E60" s="42">
        <f>+'[25]Appendix2 1415 Feeder'!E16</f>
        <v>0</v>
      </c>
      <c r="F60" s="42">
        <f>+'[25]Appendix2 1415 Feeder'!F16</f>
        <v>0</v>
      </c>
      <c r="G60" s="42">
        <f>+'[25]Appendix2 1415 Feeder'!G16</f>
        <v>-5</v>
      </c>
      <c r="H60" s="42">
        <f>+'[25]Appendix2 1415 Feeder'!H16</f>
        <v>0</v>
      </c>
      <c r="I60" s="42">
        <v>0</v>
      </c>
      <c r="J60" s="40">
        <f aca="true" t="shared" si="19" ref="J60:J68">+B60+SUM(C60:I60)</f>
        <v>-4698.469</v>
      </c>
      <c r="K60" s="80">
        <f t="shared" si="18"/>
        <v>0.05029653720636043</v>
      </c>
    </row>
    <row r="61" spans="1:11" ht="12.75">
      <c r="A61" s="84" t="s">
        <v>154</v>
      </c>
      <c r="B61" s="41">
        <f>'2013-14'!J61</f>
        <v>2857.399</v>
      </c>
      <c r="C61" s="42">
        <f>+'[25]Appendix2 1415 Feeder'!C17</f>
        <v>0</v>
      </c>
      <c r="D61" s="42">
        <f>+'[25]Appendix2 1415 Feeder'!D17</f>
        <v>0</v>
      </c>
      <c r="E61" s="42">
        <f>+'[25]Appendix2 1415 Feeder'!E17</f>
        <v>0</v>
      </c>
      <c r="F61" s="42">
        <f>+'[25]Appendix2 1415 Feeder'!F17</f>
        <v>0</v>
      </c>
      <c r="G61" s="42">
        <f>+'[25]Appendix2 1415 Feeder'!G17</f>
        <v>-16.065</v>
      </c>
      <c r="H61" s="42">
        <f>+'[25]Appendix2 1415 Feeder'!H17</f>
        <v>0</v>
      </c>
      <c r="I61" s="42">
        <v>0</v>
      </c>
      <c r="J61" s="40">
        <f t="shared" si="19"/>
        <v>2841.334</v>
      </c>
      <c r="K61" s="80">
        <f t="shared" si="18"/>
        <v>-0.005622245965649199</v>
      </c>
    </row>
    <row r="62" spans="1:11" ht="12.75">
      <c r="A62" s="84" t="s">
        <v>155</v>
      </c>
      <c r="B62" s="41">
        <f>'2013-14'!J62</f>
        <v>-1232.603</v>
      </c>
      <c r="C62" s="42">
        <f>+'[25]Appendix2 1415 Feeder'!C18</f>
        <v>0</v>
      </c>
      <c r="D62" s="42">
        <f>+'[25]Appendix2 1415 Feeder'!D18</f>
        <v>0</v>
      </c>
      <c r="E62" s="42">
        <f>+'[25]Appendix2 1415 Feeder'!E18</f>
        <v>-40</v>
      </c>
      <c r="F62" s="42">
        <f>+'[25]Appendix2 1415 Feeder'!F18</f>
        <v>0</v>
      </c>
      <c r="G62" s="42">
        <f>+'[25]Appendix2 1415 Feeder'!G18</f>
        <v>-90</v>
      </c>
      <c r="H62" s="42">
        <f>+'[25]Appendix2 1415 Feeder'!H18</f>
        <v>0</v>
      </c>
      <c r="I62" s="42">
        <v>0</v>
      </c>
      <c r="J62" s="40">
        <f t="shared" si="19"/>
        <v>-1362.603</v>
      </c>
      <c r="K62" s="80">
        <f t="shared" si="18"/>
        <v>0.10546785948111435</v>
      </c>
    </row>
    <row r="63" spans="1:11" ht="12.75">
      <c r="A63" s="84" t="s">
        <v>96</v>
      </c>
      <c r="B63" s="41">
        <f>'2013-14'!J63</f>
        <v>-358.653</v>
      </c>
      <c r="C63" s="42">
        <f>+'[25]Appendix2 1415 Feeder'!C19</f>
        <v>0</v>
      </c>
      <c r="D63" s="42">
        <f>+'[25]Appendix2 1415 Feeder'!D19</f>
        <v>0</v>
      </c>
      <c r="E63" s="42">
        <f>+'[25]Appendix2 1415 Feeder'!E19</f>
        <v>0</v>
      </c>
      <c r="F63" s="42">
        <f>+'[25]Appendix2 1415 Feeder'!F19</f>
        <v>0</v>
      </c>
      <c r="G63" s="42">
        <f>+'[25]Appendix2 1415 Feeder'!G19</f>
        <v>-20</v>
      </c>
      <c r="H63" s="42">
        <f>+'[25]Appendix2 1415 Feeder'!H19</f>
        <v>0</v>
      </c>
      <c r="I63" s="42">
        <v>0</v>
      </c>
      <c r="J63" s="40">
        <f t="shared" si="19"/>
        <v>-378.653</v>
      </c>
      <c r="K63" s="80">
        <f t="shared" si="18"/>
        <v>0.05576420662869124</v>
      </c>
    </row>
    <row r="64" spans="1:11" ht="12.75">
      <c r="A64" s="84" t="s">
        <v>156</v>
      </c>
      <c r="B64" s="41">
        <f>'2013-14'!J64</f>
        <v>3835.578</v>
      </c>
      <c r="C64" s="42">
        <f>+'[25]Appendix2 1415 Feeder'!C20</f>
        <v>0</v>
      </c>
      <c r="D64" s="42">
        <f>+'[25]Appendix2 1415 Feeder'!D20</f>
        <v>0</v>
      </c>
      <c r="E64" s="42">
        <f>+'[25]Appendix2 1415 Feeder'!E20</f>
        <v>0</v>
      </c>
      <c r="F64" s="42">
        <f>+'[25]Appendix2 1415 Feeder'!F20</f>
        <v>0</v>
      </c>
      <c r="G64" s="42">
        <f>+'[25]Appendix2 1415 Feeder'!G20</f>
        <v>0</v>
      </c>
      <c r="H64" s="42">
        <f>+'[25]Appendix2 1415 Feeder'!H20</f>
        <v>0</v>
      </c>
      <c r="I64" s="42">
        <v>0</v>
      </c>
      <c r="J64" s="40">
        <f t="shared" si="19"/>
        <v>3835.578</v>
      </c>
      <c r="K64" s="80">
        <f t="shared" si="18"/>
        <v>0</v>
      </c>
    </row>
    <row r="65" spans="1:11" ht="12.75">
      <c r="A65" s="84" t="s">
        <v>94</v>
      </c>
      <c r="B65" s="41">
        <f>'2013-14'!J65</f>
        <v>-2081.153</v>
      </c>
      <c r="C65" s="42">
        <f>+'[25]Appendix2 1415 Feeder'!C21</f>
        <v>27.846</v>
      </c>
      <c r="D65" s="42">
        <f>+'[25]Appendix2 1415 Feeder'!D21</f>
        <v>0</v>
      </c>
      <c r="E65" s="42">
        <f>+'[25]Appendix2 1415 Feeder'!E21</f>
        <v>0</v>
      </c>
      <c r="F65" s="42">
        <f>+'[25]Appendix2 1415 Feeder'!F21</f>
        <v>0</v>
      </c>
      <c r="G65" s="42">
        <f>+'[25]Appendix2 1415 Feeder'!G21</f>
        <v>0</v>
      </c>
      <c r="H65" s="42">
        <f>+'[25]Appendix2 1415 Feeder'!H21</f>
        <v>0</v>
      </c>
      <c r="I65" s="42">
        <v>0</v>
      </c>
      <c r="J65" s="40">
        <f t="shared" si="19"/>
        <v>-2053.307</v>
      </c>
      <c r="K65" s="80">
        <f t="shared" si="18"/>
        <v>-0.013380083059726992</v>
      </c>
    </row>
    <row r="66" spans="1:11" ht="12.75" customHeight="1">
      <c r="A66" s="84" t="s">
        <v>157</v>
      </c>
      <c r="B66" s="41">
        <f>'2013-14'!J66</f>
        <v>-74.416</v>
      </c>
      <c r="C66" s="42">
        <f>+'[25]Appendix2 1415 Feeder'!C22</f>
        <v>0</v>
      </c>
      <c r="D66" s="42">
        <f>+'[25]Appendix2 1415 Feeder'!D22</f>
        <v>0</v>
      </c>
      <c r="E66" s="42">
        <f>+'[25]Appendix2 1415 Feeder'!E22</f>
        <v>0</v>
      </c>
      <c r="F66" s="42">
        <f>+'[25]Appendix2 1415 Feeder'!F22</f>
        <v>0</v>
      </c>
      <c r="G66" s="42">
        <f>+'[25]Appendix2 1415 Feeder'!G22</f>
        <v>0</v>
      </c>
      <c r="H66" s="42">
        <f>+'[25]Appendix2 1415 Feeder'!H22</f>
        <v>0</v>
      </c>
      <c r="I66" s="42">
        <v>0</v>
      </c>
      <c r="J66" s="40">
        <f t="shared" si="19"/>
        <v>-74.416</v>
      </c>
      <c r="K66" s="80">
        <f t="shared" si="18"/>
        <v>0</v>
      </c>
    </row>
    <row r="67" spans="1:11" ht="12.75" customHeight="1">
      <c r="A67" s="84" t="s">
        <v>158</v>
      </c>
      <c r="B67" s="41">
        <f>'2013-14'!J67</f>
        <v>-147.477</v>
      </c>
      <c r="C67" s="42">
        <f>+'[25]Appendix2 1415 Feeder'!C23</f>
        <v>0</v>
      </c>
      <c r="D67" s="42">
        <f>+'[25]Appendix2 1415 Feeder'!D23</f>
        <v>0</v>
      </c>
      <c r="E67" s="42">
        <f>+'[25]Appendix2 1415 Feeder'!E23</f>
        <v>0</v>
      </c>
      <c r="F67" s="42">
        <f>+'[25]Appendix2 1415 Feeder'!F23</f>
        <v>0</v>
      </c>
      <c r="G67" s="42">
        <f>+'[25]Appendix2 1415 Feeder'!G23</f>
        <v>0</v>
      </c>
      <c r="H67" s="42">
        <f>+'[25]Appendix2 1415 Feeder'!H23</f>
        <v>0</v>
      </c>
      <c r="I67" s="42">
        <v>0</v>
      </c>
      <c r="J67" s="40">
        <f t="shared" si="19"/>
        <v>-147.477</v>
      </c>
      <c r="K67" s="80">
        <f t="shared" si="18"/>
        <v>0</v>
      </c>
    </row>
    <row r="68" spans="1:11" ht="12.75" customHeight="1">
      <c r="A68" s="84" t="s">
        <v>159</v>
      </c>
      <c r="B68" s="41">
        <f>'2013-14'!J68</f>
        <v>2143.515</v>
      </c>
      <c r="C68" s="42">
        <f>+'[25]Appendix2 1415 Feeder'!C24</f>
        <v>0</v>
      </c>
      <c r="D68" s="42">
        <f>+'[25]Appendix2 1415 Feeder'!D24</f>
        <v>0</v>
      </c>
      <c r="E68" s="42">
        <f>+'[25]Appendix2 1415 Feeder'!E24</f>
        <v>-300</v>
      </c>
      <c r="F68" s="42">
        <f>+'[25]Appendix2 1415 Feeder'!F24</f>
        <v>0</v>
      </c>
      <c r="G68" s="42">
        <f>+'[25]Appendix2 1415 Feeder'!G24</f>
        <v>0</v>
      </c>
      <c r="H68" s="42">
        <f>+'[25]Appendix2 1415 Feeder'!H24</f>
        <v>0</v>
      </c>
      <c r="I68" s="42">
        <v>0</v>
      </c>
      <c r="J68" s="40">
        <f t="shared" si="19"/>
        <v>1843.5149999999999</v>
      </c>
      <c r="K68" s="80">
        <f t="shared" si="18"/>
        <v>-0.13995703319081043</v>
      </c>
    </row>
    <row r="69" spans="1:11" ht="12.75">
      <c r="A69" s="27"/>
      <c r="B69" s="41"/>
      <c r="C69" s="42"/>
      <c r="D69" s="42"/>
      <c r="E69" s="42"/>
      <c r="F69" s="42"/>
      <c r="G69" s="42"/>
      <c r="H69" s="42"/>
      <c r="I69" s="42"/>
      <c r="J69" s="42"/>
      <c r="K69" s="76"/>
    </row>
    <row r="70" spans="1:11" ht="12.75">
      <c r="A70" s="26" t="s">
        <v>21</v>
      </c>
      <c r="B70" s="36">
        <f aca="true" t="shared" si="20" ref="B70:I70">+SUM(B71:B74)</f>
        <v>2722.01</v>
      </c>
      <c r="C70" s="38">
        <f t="shared" si="20"/>
        <v>0</v>
      </c>
      <c r="D70" s="38">
        <f t="shared" si="20"/>
        <v>0</v>
      </c>
      <c r="E70" s="38">
        <f t="shared" si="20"/>
        <v>0</v>
      </c>
      <c r="F70" s="38">
        <f t="shared" si="20"/>
        <v>0</v>
      </c>
      <c r="G70" s="38">
        <f t="shared" si="20"/>
        <v>-14</v>
      </c>
      <c r="H70" s="38">
        <f t="shared" si="20"/>
        <v>0</v>
      </c>
      <c r="I70" s="38">
        <f t="shared" si="20"/>
        <v>0</v>
      </c>
      <c r="J70" s="38">
        <f>+SUM(J71:J74)</f>
        <v>2708.01</v>
      </c>
      <c r="K70" s="79">
        <f>+(J70-B70)/B70</f>
        <v>-0.005143258107060591</v>
      </c>
    </row>
    <row r="71" spans="1:11" ht="12.75">
      <c r="A71" s="11" t="s">
        <v>21</v>
      </c>
      <c r="B71" s="41">
        <f>'2013-14'!J71</f>
        <v>1959.893</v>
      </c>
      <c r="C71" s="42">
        <f>'[21]Appendix2 1415 Feeder'!C15</f>
        <v>0</v>
      </c>
      <c r="D71" s="42">
        <f>'[21]Appendix2 1415 Feeder'!D15</f>
        <v>0</v>
      </c>
      <c r="E71" s="42">
        <f>'[21]Appendix2 1415 Feeder'!E15</f>
        <v>0</v>
      </c>
      <c r="F71" s="42">
        <f>'[21]Appendix2 1415 Feeder'!F15</f>
        <v>0</v>
      </c>
      <c r="G71" s="42">
        <f>'[21]Appendix2 1415 Feeder'!G15</f>
        <v>0</v>
      </c>
      <c r="H71" s="42">
        <f>'[21]Appendix2 1415 Feeder'!H15</f>
        <v>0</v>
      </c>
      <c r="I71" s="42">
        <v>0</v>
      </c>
      <c r="J71" s="40">
        <f>+B71+SUM(C71:I71)</f>
        <v>1959.893</v>
      </c>
      <c r="K71" s="80">
        <f>+(J71-B71)/B71</f>
        <v>0</v>
      </c>
    </row>
    <row r="72" spans="1:11" ht="12.75">
      <c r="A72" s="11" t="s">
        <v>69</v>
      </c>
      <c r="B72" s="41">
        <f>'2013-14'!J72</f>
        <v>215.722</v>
      </c>
      <c r="C72" s="42">
        <f>'[21]Appendix2 1415 Feeder'!C16</f>
        <v>0</v>
      </c>
      <c r="D72" s="42">
        <f>'[21]Appendix2 1415 Feeder'!D16</f>
        <v>0</v>
      </c>
      <c r="E72" s="42">
        <f>'[21]Appendix2 1415 Feeder'!E16</f>
        <v>0</v>
      </c>
      <c r="F72" s="42">
        <f>'[21]Appendix2 1415 Feeder'!F16</f>
        <v>0</v>
      </c>
      <c r="G72" s="42">
        <f>'[21]Appendix2 1415 Feeder'!G16</f>
        <v>-14</v>
      </c>
      <c r="H72" s="42">
        <f>'[21]Appendix2 1415 Feeder'!H16</f>
        <v>0</v>
      </c>
      <c r="I72" s="42">
        <v>0</v>
      </c>
      <c r="J72" s="40">
        <f>+B72+SUM(C72:I72)</f>
        <v>201.722</v>
      </c>
      <c r="K72" s="80">
        <f>+(J72-B72)/B72</f>
        <v>-0.06489834138381806</v>
      </c>
    </row>
    <row r="73" spans="1:11" ht="12.75">
      <c r="A73" s="11" t="s">
        <v>70</v>
      </c>
      <c r="B73" s="41">
        <f>'2013-14'!J73</f>
        <v>539.219</v>
      </c>
      <c r="C73" s="42">
        <f>'[21]Appendix2 1415 Feeder'!C17</f>
        <v>0</v>
      </c>
      <c r="D73" s="42">
        <f>'[21]Appendix2 1415 Feeder'!D17</f>
        <v>0</v>
      </c>
      <c r="E73" s="42">
        <f>'[21]Appendix2 1415 Feeder'!E17</f>
        <v>0</v>
      </c>
      <c r="F73" s="42">
        <f>'[21]Appendix2 1415 Feeder'!F17</f>
        <v>0</v>
      </c>
      <c r="G73" s="42">
        <f>'[21]Appendix2 1415 Feeder'!G17</f>
        <v>0</v>
      </c>
      <c r="H73" s="42">
        <f>'[21]Appendix2 1415 Feeder'!H17</f>
        <v>0</v>
      </c>
      <c r="I73" s="42">
        <v>0</v>
      </c>
      <c r="J73" s="40">
        <f>+B73+SUM(C73:I73)</f>
        <v>539.219</v>
      </c>
      <c r="K73" s="80">
        <f>+(J73-B73)/B73</f>
        <v>0</v>
      </c>
    </row>
    <row r="74" spans="1:11" ht="12.75">
      <c r="A74" s="11" t="s">
        <v>71</v>
      </c>
      <c r="B74" s="41">
        <f>'2013-14'!J74</f>
        <v>7.176</v>
      </c>
      <c r="C74" s="42">
        <f>'[21]Appendix2 1415 Feeder'!C18</f>
        <v>0</v>
      </c>
      <c r="D74" s="42">
        <f>'[21]Appendix2 1415 Feeder'!D18</f>
        <v>0</v>
      </c>
      <c r="E74" s="42">
        <f>'[21]Appendix2 1415 Feeder'!E18</f>
        <v>0</v>
      </c>
      <c r="F74" s="42">
        <f>'[21]Appendix2 1415 Feeder'!F18</f>
        <v>0</v>
      </c>
      <c r="G74" s="42">
        <f>'[21]Appendix2 1415 Feeder'!G18</f>
        <v>0</v>
      </c>
      <c r="H74" s="42">
        <f>'[21]Appendix2 1415 Feeder'!H18</f>
        <v>0</v>
      </c>
      <c r="I74" s="42">
        <v>0</v>
      </c>
      <c r="J74" s="40">
        <f>+B74+SUM(C74:I74)</f>
        <v>7.176</v>
      </c>
      <c r="K74" s="80">
        <f>+(J74-B74)/B74</f>
        <v>0</v>
      </c>
    </row>
    <row r="75" spans="1:11" ht="12.75">
      <c r="A75" s="27"/>
      <c r="B75" s="47"/>
      <c r="C75" s="48"/>
      <c r="D75" s="48"/>
      <c r="E75" s="48"/>
      <c r="F75" s="48"/>
      <c r="G75" s="48"/>
      <c r="H75" s="42"/>
      <c r="I75" s="42"/>
      <c r="J75" s="48"/>
      <c r="K75" s="16"/>
    </row>
    <row r="76" spans="1:11" ht="12.75">
      <c r="A76" s="28" t="s">
        <v>38</v>
      </c>
      <c r="B76" s="36">
        <f aca="true" t="shared" si="21" ref="B76:I76">+SUM(B77:B84)</f>
        <v>3244.6516499999993</v>
      </c>
      <c r="C76" s="38">
        <f t="shared" si="21"/>
        <v>7</v>
      </c>
      <c r="D76" s="38">
        <f t="shared" si="21"/>
        <v>0</v>
      </c>
      <c r="E76" s="38">
        <f t="shared" si="21"/>
        <v>-78.03725</v>
      </c>
      <c r="F76" s="38">
        <f t="shared" si="21"/>
        <v>0</v>
      </c>
      <c r="G76" s="38">
        <f t="shared" si="21"/>
        <v>-69</v>
      </c>
      <c r="H76" s="38">
        <f t="shared" si="21"/>
        <v>0</v>
      </c>
      <c r="I76" s="38">
        <f t="shared" si="21"/>
        <v>0</v>
      </c>
      <c r="J76" s="38">
        <f>+SUM(J77:J84)</f>
        <v>3104.6143999999995</v>
      </c>
      <c r="K76" s="79">
        <f aca="true" t="shared" si="22" ref="K76:K84">+(J76-B76)/B76</f>
        <v>-0.043159409732012335</v>
      </c>
    </row>
    <row r="77" spans="1:11" ht="12.75">
      <c r="A77" s="21" t="s">
        <v>74</v>
      </c>
      <c r="B77" s="41">
        <f>'2013-14'!J77</f>
        <v>1026.5676499999997</v>
      </c>
      <c r="C77" s="42">
        <f>'[26]Appendix2 Feeder 1415'!C17</f>
        <v>7</v>
      </c>
      <c r="D77" s="42">
        <f>'[26]Appendix2 Feeder 1415'!D17</f>
        <v>0</v>
      </c>
      <c r="E77" s="42">
        <f>'[26]Appendix2 Feeder 1415'!E17</f>
        <v>37.96275</v>
      </c>
      <c r="F77" s="42">
        <f>'[26]Appendix2 Feeder 1415'!F17</f>
        <v>0</v>
      </c>
      <c r="G77" s="42">
        <f>'[26]Appendix2 Feeder 1415'!G17</f>
        <v>0</v>
      </c>
      <c r="H77" s="42">
        <f>'[26]Appendix2 Feeder 1415'!H17</f>
        <v>0</v>
      </c>
      <c r="I77" s="42">
        <v>0</v>
      </c>
      <c r="J77" s="40">
        <f>+B77+SUM(C77:I77)</f>
        <v>1071.5303999999996</v>
      </c>
      <c r="K77" s="80">
        <f t="shared" si="22"/>
        <v>0.043799110560321985</v>
      </c>
    </row>
    <row r="78" spans="1:11" ht="12.75">
      <c r="A78" s="21" t="s">
        <v>137</v>
      </c>
      <c r="B78" s="41">
        <f>'2013-14'!J78</f>
        <v>6.856</v>
      </c>
      <c r="C78" s="42">
        <f>'[26]Appendix2 Feeder 1415'!C18</f>
        <v>0</v>
      </c>
      <c r="D78" s="42">
        <f>'[26]Appendix2 Feeder 1415'!D18</f>
        <v>0</v>
      </c>
      <c r="E78" s="42">
        <f>'[26]Appendix2 Feeder 1415'!E18</f>
        <v>0</v>
      </c>
      <c r="F78" s="42">
        <f>'[26]Appendix2 Feeder 1415'!F18</f>
        <v>0</v>
      </c>
      <c r="G78" s="42">
        <f>'[26]Appendix2 Feeder 1415'!G18</f>
        <v>0</v>
      </c>
      <c r="H78" s="42">
        <f>'[26]Appendix2 Feeder 1415'!H18</f>
        <v>0</v>
      </c>
      <c r="I78" s="42">
        <v>0</v>
      </c>
      <c r="J78" s="40">
        <f aca="true" t="shared" si="23" ref="J78:J84">+B78+SUM(C78:I78)</f>
        <v>6.856</v>
      </c>
      <c r="K78" s="80">
        <f t="shared" si="22"/>
        <v>0</v>
      </c>
    </row>
    <row r="79" spans="1:11" ht="12.75">
      <c r="A79" s="21" t="s">
        <v>75</v>
      </c>
      <c r="B79" s="41">
        <f>'2013-14'!J79</f>
        <v>94.243</v>
      </c>
      <c r="C79" s="42">
        <f>'[26]Appendix2 Feeder 1415'!C19</f>
        <v>0</v>
      </c>
      <c r="D79" s="42">
        <f>'[26]Appendix2 Feeder 1415'!D19</f>
        <v>0</v>
      </c>
      <c r="E79" s="42">
        <f>'[26]Appendix2 Feeder 1415'!E19</f>
        <v>0</v>
      </c>
      <c r="F79" s="42">
        <f>'[26]Appendix2 Feeder 1415'!F19</f>
        <v>0</v>
      </c>
      <c r="G79" s="42">
        <f>'[26]Appendix2 Feeder 1415'!G19</f>
        <v>-2</v>
      </c>
      <c r="H79" s="42">
        <f>'[26]Appendix2 Feeder 1415'!H19</f>
        <v>0</v>
      </c>
      <c r="I79" s="42">
        <v>0</v>
      </c>
      <c r="J79" s="40">
        <f t="shared" si="23"/>
        <v>92.243</v>
      </c>
      <c r="K79" s="80">
        <f t="shared" si="22"/>
        <v>-0.021221735301295588</v>
      </c>
    </row>
    <row r="80" spans="1:11" ht="12.75">
      <c r="A80" s="21" t="s">
        <v>76</v>
      </c>
      <c r="B80" s="41">
        <f>'2013-14'!J80</f>
        <v>-10.853</v>
      </c>
      <c r="C80" s="42">
        <f>'[26]Appendix2 Feeder 1415'!C20</f>
        <v>0</v>
      </c>
      <c r="D80" s="42">
        <f>'[26]Appendix2 Feeder 1415'!D20</f>
        <v>0</v>
      </c>
      <c r="E80" s="42">
        <f>'[26]Appendix2 Feeder 1415'!E20</f>
        <v>0</v>
      </c>
      <c r="F80" s="42">
        <f>'[26]Appendix2 Feeder 1415'!F20</f>
        <v>0</v>
      </c>
      <c r="G80" s="42">
        <f>'[26]Appendix2 Feeder 1415'!G20</f>
        <v>0</v>
      </c>
      <c r="H80" s="42">
        <f>'[26]Appendix2 Feeder 1415'!H20</f>
        <v>0</v>
      </c>
      <c r="I80" s="42">
        <v>0</v>
      </c>
      <c r="J80" s="40">
        <f t="shared" si="23"/>
        <v>-10.853</v>
      </c>
      <c r="K80" s="80">
        <f t="shared" si="22"/>
        <v>0</v>
      </c>
    </row>
    <row r="81" spans="1:11" ht="12.75">
      <c r="A81" s="21" t="s">
        <v>77</v>
      </c>
      <c r="B81" s="41">
        <f>'2013-14'!J81</f>
        <v>18.65</v>
      </c>
      <c r="C81" s="42">
        <f>'[26]Appendix2 Feeder 1415'!C21</f>
        <v>0</v>
      </c>
      <c r="D81" s="42">
        <f>'[26]Appendix2 Feeder 1415'!D21</f>
        <v>0</v>
      </c>
      <c r="E81" s="42">
        <f>'[26]Appendix2 Feeder 1415'!E21</f>
        <v>0</v>
      </c>
      <c r="F81" s="42">
        <f>'[26]Appendix2 Feeder 1415'!F21</f>
        <v>0</v>
      </c>
      <c r="G81" s="42">
        <f>'[26]Appendix2 Feeder 1415'!G21</f>
        <v>0</v>
      </c>
      <c r="H81" s="42">
        <f>'[26]Appendix2 Feeder 1415'!H21</f>
        <v>0</v>
      </c>
      <c r="I81" s="42">
        <v>0</v>
      </c>
      <c r="J81" s="40">
        <f t="shared" si="23"/>
        <v>18.65</v>
      </c>
      <c r="K81" s="80">
        <f t="shared" si="22"/>
        <v>0</v>
      </c>
    </row>
    <row r="82" spans="1:11" ht="12.75">
      <c r="A82" s="21" t="s">
        <v>78</v>
      </c>
      <c r="B82" s="41">
        <f>'2013-14'!J82</f>
        <v>132.888</v>
      </c>
      <c r="C82" s="42">
        <f>'[26]Appendix2 Feeder 1415'!C22</f>
        <v>0</v>
      </c>
      <c r="D82" s="42">
        <f>'[26]Appendix2 Feeder 1415'!D22</f>
        <v>0</v>
      </c>
      <c r="E82" s="42">
        <f>'[26]Appendix2 Feeder 1415'!E22</f>
        <v>0</v>
      </c>
      <c r="F82" s="42">
        <f>'[26]Appendix2 Feeder 1415'!F22</f>
        <v>0</v>
      </c>
      <c r="G82" s="42">
        <f>'[26]Appendix2 Feeder 1415'!G22</f>
        <v>0</v>
      </c>
      <c r="H82" s="42">
        <f>'[26]Appendix2 Feeder 1415'!H22</f>
        <v>0</v>
      </c>
      <c r="I82" s="42">
        <v>0</v>
      </c>
      <c r="J82" s="40">
        <f t="shared" si="23"/>
        <v>132.888</v>
      </c>
      <c r="K82" s="80">
        <f t="shared" si="22"/>
        <v>0</v>
      </c>
    </row>
    <row r="83" spans="1:11" ht="12.75">
      <c r="A83" s="21" t="s">
        <v>79</v>
      </c>
      <c r="B83" s="41">
        <f>'2013-14'!J83</f>
        <v>1923.493</v>
      </c>
      <c r="C83" s="42">
        <f>'[26]Appendix2 Feeder 1415'!C23</f>
        <v>0</v>
      </c>
      <c r="D83" s="42">
        <f>'[26]Appendix2 Feeder 1415'!D23</f>
        <v>0</v>
      </c>
      <c r="E83" s="42">
        <f>'[26]Appendix2 Feeder 1415'!E23</f>
        <v>-116</v>
      </c>
      <c r="F83" s="42">
        <f>'[26]Appendix2 Feeder 1415'!F23</f>
        <v>0</v>
      </c>
      <c r="G83" s="42">
        <f>'[26]Appendix2 Feeder 1415'!G23</f>
        <v>-67</v>
      </c>
      <c r="H83" s="42">
        <f>'[26]Appendix2 Feeder 1415'!H23</f>
        <v>0</v>
      </c>
      <c r="I83" s="42">
        <v>0</v>
      </c>
      <c r="J83" s="40">
        <f t="shared" si="23"/>
        <v>1740.493</v>
      </c>
      <c r="K83" s="80">
        <f t="shared" si="22"/>
        <v>-0.095139415636033</v>
      </c>
    </row>
    <row r="84" spans="1:11" ht="12.75">
      <c r="A84" s="21" t="s">
        <v>80</v>
      </c>
      <c r="B84" s="41">
        <f>'2013-14'!J84</f>
        <v>52.807</v>
      </c>
      <c r="C84" s="42">
        <f>'[26]Appendix2 Feeder 1415'!C24</f>
        <v>0</v>
      </c>
      <c r="D84" s="42">
        <f>'[26]Appendix2 Feeder 1415'!D24</f>
        <v>0</v>
      </c>
      <c r="E84" s="42">
        <f>'[26]Appendix2 Feeder 1415'!E24</f>
        <v>0</v>
      </c>
      <c r="F84" s="42">
        <f>'[26]Appendix2 Feeder 1415'!F24</f>
        <v>0</v>
      </c>
      <c r="G84" s="42">
        <f>'[26]Appendix2 Feeder 1415'!G24</f>
        <v>0</v>
      </c>
      <c r="H84" s="42">
        <f>'[26]Appendix2 Feeder 1415'!H24</f>
        <v>0</v>
      </c>
      <c r="I84" s="42">
        <v>0</v>
      </c>
      <c r="J84" s="40">
        <f t="shared" si="23"/>
        <v>52.807</v>
      </c>
      <c r="K84" s="80">
        <f t="shared" si="22"/>
        <v>0</v>
      </c>
    </row>
    <row r="85" spans="1:11" ht="12.75">
      <c r="A85" s="28"/>
      <c r="B85" s="47"/>
      <c r="C85" s="48"/>
      <c r="D85" s="48"/>
      <c r="E85" s="48"/>
      <c r="F85" s="48"/>
      <c r="G85" s="42"/>
      <c r="H85" s="42"/>
      <c r="I85" s="42"/>
      <c r="J85" s="48"/>
      <c r="K85" s="16"/>
    </row>
    <row r="86" spans="1:11" ht="12.75">
      <c r="A86" s="27"/>
      <c r="B86" s="47"/>
      <c r="C86" s="100"/>
      <c r="D86" s="100"/>
      <c r="E86" s="100"/>
      <c r="F86" s="100"/>
      <c r="G86" s="100"/>
      <c r="H86" s="100"/>
      <c r="I86" s="100"/>
      <c r="J86" s="100"/>
      <c r="K86" s="16"/>
    </row>
    <row r="87" spans="1:11" ht="12.75">
      <c r="A87" s="57" t="s">
        <v>39</v>
      </c>
      <c r="B87" s="36">
        <f aca="true" t="shared" si="24" ref="B87:I87">B89+B95+B103</f>
        <v>4704.626</v>
      </c>
      <c r="C87" s="37">
        <f t="shared" si="24"/>
        <v>0</v>
      </c>
      <c r="D87" s="37">
        <f t="shared" si="24"/>
        <v>0</v>
      </c>
      <c r="E87" s="37">
        <f t="shared" si="24"/>
        <v>-1.5</v>
      </c>
      <c r="F87" s="37">
        <f t="shared" si="24"/>
        <v>0</v>
      </c>
      <c r="G87" s="37">
        <f t="shared" si="24"/>
        <v>-64.3</v>
      </c>
      <c r="H87" s="37">
        <f t="shared" si="24"/>
        <v>0</v>
      </c>
      <c r="I87" s="37">
        <f t="shared" si="24"/>
        <v>-50</v>
      </c>
      <c r="J87" s="37">
        <f>J89+J95+J103</f>
        <v>4588.826</v>
      </c>
      <c r="K87" s="79">
        <f>+(J87-B87)/B87</f>
        <v>-0.02461407134169649</v>
      </c>
    </row>
    <row r="88" spans="1:11" ht="12.75">
      <c r="A88" s="31"/>
      <c r="B88" s="47"/>
      <c r="C88" s="100"/>
      <c r="D88" s="100"/>
      <c r="E88" s="100"/>
      <c r="F88" s="100"/>
      <c r="G88" s="100"/>
      <c r="H88" s="100"/>
      <c r="I88" s="100"/>
      <c r="J88" s="100"/>
      <c r="K88" s="16"/>
    </row>
    <row r="89" spans="1:11" ht="12.75" customHeight="1">
      <c r="A89" s="26" t="s">
        <v>116</v>
      </c>
      <c r="B89" s="36">
        <f aca="true" t="shared" si="25" ref="B89:I89">+SUM(B90:B93)</f>
        <v>967.751</v>
      </c>
      <c r="C89" s="37">
        <f t="shared" si="25"/>
        <v>0</v>
      </c>
      <c r="D89" s="37">
        <f t="shared" si="25"/>
        <v>0</v>
      </c>
      <c r="E89" s="37">
        <f t="shared" si="25"/>
        <v>-1.5</v>
      </c>
      <c r="F89" s="37">
        <f t="shared" si="25"/>
        <v>0</v>
      </c>
      <c r="G89" s="37">
        <f t="shared" si="25"/>
        <v>-39.3</v>
      </c>
      <c r="H89" s="37">
        <f t="shared" si="25"/>
        <v>0</v>
      </c>
      <c r="I89" s="37">
        <f t="shared" si="25"/>
        <v>0</v>
      </c>
      <c r="J89" s="37">
        <f>+SUM(J90:J93)</f>
        <v>926.951</v>
      </c>
      <c r="K89" s="79">
        <f>+(J89-B89)/B89</f>
        <v>-0.04215960510503214</v>
      </c>
    </row>
    <row r="90" spans="1:11" ht="12.75">
      <c r="A90" s="83" t="s">
        <v>139</v>
      </c>
      <c r="B90" s="41">
        <f>'2013-14'!J90</f>
        <v>-93.841</v>
      </c>
      <c r="C90" s="125">
        <f>+'[24]Appendix2 1415 Feeder'!C15</f>
        <v>0</v>
      </c>
      <c r="D90" s="125">
        <f>+'[24]Appendix2 1415 Feeder'!D15</f>
        <v>0</v>
      </c>
      <c r="E90" s="125">
        <f>+'[24]Appendix2 1415 Feeder'!E15</f>
        <v>-1.5</v>
      </c>
      <c r="F90" s="125">
        <f>+'[24]Appendix2 1415 Feeder'!F15</f>
        <v>0</v>
      </c>
      <c r="G90" s="125">
        <f>+'[24]Appendix2 1415 Feeder'!G15</f>
        <v>-16.8</v>
      </c>
      <c r="H90" s="125">
        <f>+'[24]Appendix2 1415 Feeder'!H15</f>
        <v>0</v>
      </c>
      <c r="I90" s="125">
        <v>0</v>
      </c>
      <c r="J90" s="40">
        <f>+B90+SUM(C90:I90)</f>
        <v>-112.14099999999999</v>
      </c>
      <c r="K90" s="80">
        <f>+(J90-B90)/B90</f>
        <v>0.19501070960454384</v>
      </c>
    </row>
    <row r="91" spans="1:11" ht="12.75">
      <c r="A91" s="83" t="s">
        <v>140</v>
      </c>
      <c r="B91" s="41">
        <f>'2013-14'!J91</f>
        <v>376.307</v>
      </c>
      <c r="C91" s="125">
        <f>+'[24]Appendix2 1415 Feeder'!C16</f>
        <v>0</v>
      </c>
      <c r="D91" s="125">
        <f>+'[24]Appendix2 1415 Feeder'!D16</f>
        <v>0</v>
      </c>
      <c r="E91" s="125">
        <f>+'[24]Appendix2 1415 Feeder'!E16</f>
        <v>0</v>
      </c>
      <c r="F91" s="125">
        <f>+'[24]Appendix2 1415 Feeder'!F16</f>
        <v>0</v>
      </c>
      <c r="G91" s="125">
        <f>+'[24]Appendix2 1415 Feeder'!G16</f>
        <v>-8.5</v>
      </c>
      <c r="H91" s="125">
        <f>+'[24]Appendix2 1415 Feeder'!H16</f>
        <v>0</v>
      </c>
      <c r="I91" s="125">
        <v>0</v>
      </c>
      <c r="J91" s="40">
        <f>+B91+SUM(C91:I91)</f>
        <v>367.807</v>
      </c>
      <c r="K91" s="80">
        <f>+(J91-B91)/B91</f>
        <v>-0.022587940165875203</v>
      </c>
    </row>
    <row r="92" spans="1:11" ht="12.75">
      <c r="A92" s="83" t="s">
        <v>68</v>
      </c>
      <c r="B92" s="41">
        <f>'2013-14'!J92</f>
        <v>496.93899999999996</v>
      </c>
      <c r="C92" s="125">
        <f>+'[24]Appendix2 1415 Feeder'!C17</f>
        <v>0</v>
      </c>
      <c r="D92" s="125">
        <f>+'[24]Appendix2 1415 Feeder'!D17</f>
        <v>0</v>
      </c>
      <c r="E92" s="125">
        <f>+'[24]Appendix2 1415 Feeder'!E17</f>
        <v>0</v>
      </c>
      <c r="F92" s="125">
        <f>+'[24]Appendix2 1415 Feeder'!F17</f>
        <v>0</v>
      </c>
      <c r="G92" s="125">
        <f>+'[24]Appendix2 1415 Feeder'!G17</f>
        <v>-14</v>
      </c>
      <c r="H92" s="125">
        <f>+'[24]Appendix2 1415 Feeder'!H17</f>
        <v>0</v>
      </c>
      <c r="I92" s="125">
        <v>0</v>
      </c>
      <c r="J92" s="40">
        <f>+B92+SUM(C92:I92)</f>
        <v>482.93899999999996</v>
      </c>
      <c r="K92" s="80">
        <f>+(J92-B92)/B92</f>
        <v>-0.028172471872805315</v>
      </c>
    </row>
    <row r="93" spans="1:11" ht="12.75">
      <c r="A93" s="83" t="s">
        <v>141</v>
      </c>
      <c r="B93" s="41">
        <f>'2013-14'!J93</f>
        <v>188.346</v>
      </c>
      <c r="C93" s="125">
        <f>+'[24]Appendix2 1415 Feeder'!C18</f>
        <v>0</v>
      </c>
      <c r="D93" s="125">
        <f>+'[24]Appendix2 1415 Feeder'!D18</f>
        <v>0</v>
      </c>
      <c r="E93" s="125">
        <f>+'[24]Appendix2 1415 Feeder'!E18</f>
        <v>0</v>
      </c>
      <c r="F93" s="125">
        <f>+'[24]Appendix2 1415 Feeder'!F18</f>
        <v>0</v>
      </c>
      <c r="G93" s="125">
        <f>+'[24]Appendix2 1415 Feeder'!G18</f>
        <v>0</v>
      </c>
      <c r="H93" s="125">
        <f>+'[24]Appendix2 1415 Feeder'!H18</f>
        <v>0</v>
      </c>
      <c r="I93" s="125">
        <v>0</v>
      </c>
      <c r="J93" s="40">
        <f>+B93+SUM(C93:I93)</f>
        <v>188.346</v>
      </c>
      <c r="K93" s="80">
        <f>+(J93-B93)/B93</f>
        <v>0</v>
      </c>
    </row>
    <row r="94" spans="1:11" ht="12.75">
      <c r="A94" s="83"/>
      <c r="B94" s="41"/>
      <c r="C94" s="125"/>
      <c r="D94" s="125"/>
      <c r="E94" s="125"/>
      <c r="F94" s="125"/>
      <c r="G94" s="125"/>
      <c r="H94" s="125"/>
      <c r="I94" s="125"/>
      <c r="J94" s="40"/>
      <c r="K94" s="80"/>
    </row>
    <row r="95" spans="1:11" ht="12.75">
      <c r="A95" s="26" t="s">
        <v>14</v>
      </c>
      <c r="B95" s="36">
        <f aca="true" t="shared" si="26" ref="B95:I95">+SUM(B96:B100)</f>
        <v>1290.963</v>
      </c>
      <c r="C95" s="38">
        <f t="shared" si="26"/>
        <v>0</v>
      </c>
      <c r="D95" s="38">
        <f t="shared" si="26"/>
        <v>0</v>
      </c>
      <c r="E95" s="38">
        <f t="shared" si="26"/>
        <v>0</v>
      </c>
      <c r="F95" s="38">
        <f t="shared" si="26"/>
        <v>0</v>
      </c>
      <c r="G95" s="38">
        <f t="shared" si="26"/>
        <v>-20</v>
      </c>
      <c r="H95" s="38">
        <f t="shared" si="26"/>
        <v>0</v>
      </c>
      <c r="I95" s="38">
        <f t="shared" si="26"/>
        <v>-50</v>
      </c>
      <c r="J95" s="38">
        <f>+SUM(J96:J100)</f>
        <v>1220.963</v>
      </c>
      <c r="K95" s="79">
        <f aca="true" t="shared" si="27" ref="K95:K100">+(J95-B95)/B95</f>
        <v>-0.0542230877259844</v>
      </c>
    </row>
    <row r="96" spans="1:11" ht="12.75">
      <c r="A96" s="10" t="s">
        <v>15</v>
      </c>
      <c r="B96" s="41">
        <f>'2013-14'!J96</f>
        <v>700.108</v>
      </c>
      <c r="C96" s="42">
        <f>'[22]Appendix2 1415 Feeder'!C15</f>
        <v>0</v>
      </c>
      <c r="D96" s="42">
        <f>'[22]Appendix2 1415 Feeder'!D15</f>
        <v>0</v>
      </c>
      <c r="E96" s="42">
        <f>'[22]Appendix2 1415 Feeder'!E15</f>
        <v>0</v>
      </c>
      <c r="F96" s="42">
        <f>'[22]Appendix2 1415 Feeder'!F15</f>
        <v>0</v>
      </c>
      <c r="G96" s="42">
        <f>'[22]Appendix2 1415 Feeder'!G15</f>
        <v>0</v>
      </c>
      <c r="H96" s="42">
        <f>'[22]Appendix2 1415 Feeder'!H15</f>
        <v>0</v>
      </c>
      <c r="I96" s="42">
        <v>-50</v>
      </c>
      <c r="J96" s="40">
        <f aca="true" t="shared" si="28" ref="J96:J101">+B96+SUM(C96:I96)</f>
        <v>650.108</v>
      </c>
      <c r="K96" s="80">
        <f t="shared" si="27"/>
        <v>-0.07141755272043743</v>
      </c>
    </row>
    <row r="97" spans="1:11" ht="12.75">
      <c r="A97" s="10" t="s">
        <v>16</v>
      </c>
      <c r="B97" s="41">
        <f>'2013-14'!J97</f>
        <v>40.014</v>
      </c>
      <c r="C97" s="42">
        <f>'[22]Appendix2 1415 Feeder'!C16</f>
        <v>0</v>
      </c>
      <c r="D97" s="42">
        <f>'[22]Appendix2 1415 Feeder'!D16</f>
        <v>0</v>
      </c>
      <c r="E97" s="42">
        <f>'[22]Appendix2 1415 Feeder'!E16</f>
        <v>0</v>
      </c>
      <c r="F97" s="42">
        <f>'[22]Appendix2 1415 Feeder'!F16</f>
        <v>0</v>
      </c>
      <c r="G97" s="42">
        <f>'[22]Appendix2 1415 Feeder'!G16</f>
        <v>0</v>
      </c>
      <c r="H97" s="42">
        <f>'[22]Appendix2 1415 Feeder'!H16</f>
        <v>0</v>
      </c>
      <c r="I97" s="42">
        <v>0</v>
      </c>
      <c r="J97" s="40">
        <f t="shared" si="28"/>
        <v>40.014</v>
      </c>
      <c r="K97" s="80">
        <f t="shared" si="27"/>
        <v>0</v>
      </c>
    </row>
    <row r="98" spans="1:11" ht="12.75" hidden="1">
      <c r="A98" s="10" t="s">
        <v>17</v>
      </c>
      <c r="B98" s="41">
        <f>'2013-14'!J98</f>
        <v>0</v>
      </c>
      <c r="C98" s="42">
        <f>'[22]Appendix2 1415 Feeder'!C17</f>
        <v>0</v>
      </c>
      <c r="D98" s="42">
        <f>'[22]Appendix2 1415 Feeder'!D17</f>
        <v>0</v>
      </c>
      <c r="E98" s="42">
        <f>'[22]Appendix2 1415 Feeder'!E17</f>
        <v>0</v>
      </c>
      <c r="F98" s="42">
        <f>'[22]Appendix2 1415 Feeder'!F17</f>
        <v>0</v>
      </c>
      <c r="G98" s="42">
        <f>'[22]Appendix2 1415 Feeder'!G17</f>
        <v>0</v>
      </c>
      <c r="H98" s="42">
        <f>'[22]Appendix2 1415 Feeder'!H17</f>
        <v>0</v>
      </c>
      <c r="I98" s="42"/>
      <c r="J98" s="40">
        <f t="shared" si="28"/>
        <v>0</v>
      </c>
      <c r="K98" s="80" t="e">
        <f t="shared" si="27"/>
        <v>#DIV/0!</v>
      </c>
    </row>
    <row r="99" spans="1:11" ht="12.75">
      <c r="A99" s="10" t="s">
        <v>18</v>
      </c>
      <c r="B99" s="41">
        <f>'2013-14'!J99</f>
        <v>538.225</v>
      </c>
      <c r="C99" s="42">
        <f>'[22]Appendix2 1415 Feeder'!C18</f>
        <v>0</v>
      </c>
      <c r="D99" s="42">
        <f>'[22]Appendix2 1415 Feeder'!D18</f>
        <v>0</v>
      </c>
      <c r="E99" s="42">
        <f>'[22]Appendix2 1415 Feeder'!E18</f>
        <v>0</v>
      </c>
      <c r="F99" s="42">
        <f>'[22]Appendix2 1415 Feeder'!F18</f>
        <v>0</v>
      </c>
      <c r="G99" s="42">
        <f>'[22]Appendix2 1415 Feeder'!G18</f>
        <v>0</v>
      </c>
      <c r="H99" s="42">
        <f>'[22]Appendix2 1415 Feeder'!H18</f>
        <v>0</v>
      </c>
      <c r="I99" s="42">
        <v>0</v>
      </c>
      <c r="J99" s="40">
        <f t="shared" si="28"/>
        <v>538.225</v>
      </c>
      <c r="K99" s="80">
        <f t="shared" si="27"/>
        <v>0</v>
      </c>
    </row>
    <row r="100" spans="1:11" ht="12.75">
      <c r="A100" s="10" t="s">
        <v>19</v>
      </c>
      <c r="B100" s="41">
        <f>'2013-14'!J100</f>
        <v>12.616</v>
      </c>
      <c r="C100" s="42">
        <f>'[22]Appendix2 1415 Feeder'!C19</f>
        <v>0</v>
      </c>
      <c r="D100" s="42">
        <f>'[22]Appendix2 1415 Feeder'!D19</f>
        <v>0</v>
      </c>
      <c r="E100" s="42">
        <f>'[22]Appendix2 1415 Feeder'!E19</f>
        <v>0</v>
      </c>
      <c r="F100" s="42">
        <f>'[22]Appendix2 1415 Feeder'!F19</f>
        <v>0</v>
      </c>
      <c r="G100" s="42">
        <f>'[22]Appendix2 1415 Feeder'!G19</f>
        <v>-20</v>
      </c>
      <c r="H100" s="42">
        <f>'[22]Appendix2 1415 Feeder'!H19</f>
        <v>0</v>
      </c>
      <c r="I100" s="42">
        <v>0</v>
      </c>
      <c r="J100" s="40">
        <f t="shared" si="28"/>
        <v>-7.384</v>
      </c>
      <c r="K100" s="80">
        <f t="shared" si="27"/>
        <v>-1.585288522511097</v>
      </c>
    </row>
    <row r="101" spans="1:11" ht="12.75">
      <c r="A101" s="10"/>
      <c r="B101" s="41"/>
      <c r="C101" s="42"/>
      <c r="D101" s="42"/>
      <c r="E101" s="42"/>
      <c r="F101" s="42"/>
      <c r="G101" s="42"/>
      <c r="H101" s="42"/>
      <c r="I101" s="42"/>
      <c r="J101" s="40">
        <f t="shared" si="28"/>
        <v>0</v>
      </c>
      <c r="K101" s="16"/>
    </row>
    <row r="102" spans="1:11" ht="12.75">
      <c r="A102" s="27"/>
      <c r="B102" s="47"/>
      <c r="C102" s="48"/>
      <c r="D102" s="48"/>
      <c r="E102" s="48"/>
      <c r="F102" s="48"/>
      <c r="G102" s="48"/>
      <c r="H102" s="48"/>
      <c r="I102" s="48"/>
      <c r="J102" s="48"/>
      <c r="K102" s="16"/>
    </row>
    <row r="103" spans="1:11" ht="12.75">
      <c r="A103" s="26" t="s">
        <v>23</v>
      </c>
      <c r="B103" s="36">
        <f aca="true" t="shared" si="29" ref="B103:I103">+SUM(B104:B109)</f>
        <v>2445.9120000000003</v>
      </c>
      <c r="C103" s="38">
        <f t="shared" si="29"/>
        <v>0</v>
      </c>
      <c r="D103" s="38">
        <f t="shared" si="29"/>
        <v>0</v>
      </c>
      <c r="E103" s="38">
        <f t="shared" si="29"/>
        <v>0</v>
      </c>
      <c r="F103" s="38">
        <f t="shared" si="29"/>
        <v>0</v>
      </c>
      <c r="G103" s="38">
        <f t="shared" si="29"/>
        <v>-5</v>
      </c>
      <c r="H103" s="38">
        <f t="shared" si="29"/>
        <v>0</v>
      </c>
      <c r="I103" s="38">
        <f t="shared" si="29"/>
        <v>0</v>
      </c>
      <c r="J103" s="38">
        <f>+SUM(J104:J109)</f>
        <v>2440.9120000000003</v>
      </c>
      <c r="K103" s="79">
        <f aca="true" t="shared" si="30" ref="K103:K109">+(J103-B103)/B103</f>
        <v>-0.002044227265739732</v>
      </c>
    </row>
    <row r="104" spans="1:11" ht="12.75">
      <c r="A104" s="11" t="s">
        <v>62</v>
      </c>
      <c r="B104" s="41">
        <f>'2013-14'!J104</f>
        <v>225.828</v>
      </c>
      <c r="C104" s="42">
        <f>'[27]Appendix2 1415 Feeder'!C15</f>
        <v>0</v>
      </c>
      <c r="D104" s="42">
        <f>'[27]Appendix2 1415 Feeder'!D15</f>
        <v>0</v>
      </c>
      <c r="E104" s="42">
        <f>'[27]Appendix2 1415 Feeder'!E15</f>
        <v>0</v>
      </c>
      <c r="F104" s="42">
        <f>'[27]Appendix2 1415 Feeder'!F15</f>
        <v>0</v>
      </c>
      <c r="G104" s="42">
        <f>'[27]Appendix2 1415 Feeder'!G15</f>
        <v>0</v>
      </c>
      <c r="H104" s="42">
        <f>'[27]Appendix2 1415 Feeder'!H15</f>
        <v>0</v>
      </c>
      <c r="I104" s="42">
        <v>0</v>
      </c>
      <c r="J104" s="40">
        <f aca="true" t="shared" si="31" ref="J104:J109">+B104+SUM(C104:I104)</f>
        <v>225.828</v>
      </c>
      <c r="K104" s="80">
        <f t="shared" si="30"/>
        <v>0</v>
      </c>
    </row>
    <row r="105" spans="1:11" ht="12.75">
      <c r="A105" s="11" t="s">
        <v>63</v>
      </c>
      <c r="B105" s="41">
        <f>'2013-14'!J105</f>
        <v>159.248</v>
      </c>
      <c r="C105" s="42">
        <f>'[27]Appendix2 1415 Feeder'!C16</f>
        <v>0</v>
      </c>
      <c r="D105" s="42">
        <f>'[27]Appendix2 1415 Feeder'!D16</f>
        <v>0</v>
      </c>
      <c r="E105" s="42">
        <f>'[27]Appendix2 1415 Feeder'!E16</f>
        <v>0</v>
      </c>
      <c r="F105" s="42">
        <f>'[27]Appendix2 1415 Feeder'!F16</f>
        <v>0</v>
      </c>
      <c r="G105" s="42">
        <f>'[27]Appendix2 1415 Feeder'!G16</f>
        <v>0</v>
      </c>
      <c r="H105" s="42">
        <f>'[27]Appendix2 1415 Feeder'!H16</f>
        <v>0</v>
      </c>
      <c r="I105" s="42">
        <v>0</v>
      </c>
      <c r="J105" s="40">
        <f t="shared" si="31"/>
        <v>159.248</v>
      </c>
      <c r="K105" s="80">
        <f t="shared" si="30"/>
        <v>0</v>
      </c>
    </row>
    <row r="106" spans="1:11" ht="12.75">
      <c r="A106" s="11" t="s">
        <v>64</v>
      </c>
      <c r="B106" s="41">
        <f>'2013-14'!J106</f>
        <v>727.154</v>
      </c>
      <c r="C106" s="42">
        <f>'[27]Appendix2 1415 Feeder'!C17</f>
        <v>0</v>
      </c>
      <c r="D106" s="42">
        <f>'[27]Appendix2 1415 Feeder'!D17</f>
        <v>0</v>
      </c>
      <c r="E106" s="42">
        <f>'[27]Appendix2 1415 Feeder'!E17</f>
        <v>0</v>
      </c>
      <c r="F106" s="42">
        <f>'[27]Appendix2 1415 Feeder'!F17</f>
        <v>0</v>
      </c>
      <c r="G106" s="42">
        <f>'[27]Appendix2 1415 Feeder'!G17</f>
        <v>-5</v>
      </c>
      <c r="H106" s="42">
        <f>'[27]Appendix2 1415 Feeder'!H17</f>
        <v>0</v>
      </c>
      <c r="I106" s="42">
        <v>0</v>
      </c>
      <c r="J106" s="40">
        <f t="shared" si="31"/>
        <v>722.154</v>
      </c>
      <c r="K106" s="80">
        <f t="shared" si="30"/>
        <v>-0.006876122527002533</v>
      </c>
    </row>
    <row r="107" spans="1:11" ht="12.75">
      <c r="A107" s="11" t="s">
        <v>65</v>
      </c>
      <c r="B107" s="41">
        <f>'2013-14'!J107</f>
        <v>439.242</v>
      </c>
      <c r="C107" s="42">
        <f>'[27]Appendix2 1415 Feeder'!C18</f>
        <v>0</v>
      </c>
      <c r="D107" s="42">
        <f>'[27]Appendix2 1415 Feeder'!D18</f>
        <v>0</v>
      </c>
      <c r="E107" s="42">
        <f>'[27]Appendix2 1415 Feeder'!E18</f>
        <v>0</v>
      </c>
      <c r="F107" s="42">
        <f>'[27]Appendix2 1415 Feeder'!F18</f>
        <v>0</v>
      </c>
      <c r="G107" s="42">
        <f>'[27]Appendix2 1415 Feeder'!G18</f>
        <v>0</v>
      </c>
      <c r="H107" s="42">
        <f>'[27]Appendix2 1415 Feeder'!H18</f>
        <v>0</v>
      </c>
      <c r="I107" s="42">
        <v>0</v>
      </c>
      <c r="J107" s="40">
        <f t="shared" si="31"/>
        <v>439.242</v>
      </c>
      <c r="K107" s="80">
        <f t="shared" si="30"/>
        <v>0</v>
      </c>
    </row>
    <row r="108" spans="1:11" ht="12.75">
      <c r="A108" s="11" t="s">
        <v>66</v>
      </c>
      <c r="B108" s="41">
        <f>'2013-14'!J108</f>
        <v>52.728</v>
      </c>
      <c r="C108" s="42">
        <f>'[27]Appendix2 1415 Feeder'!C19</f>
        <v>0</v>
      </c>
      <c r="D108" s="42">
        <f>'[27]Appendix2 1415 Feeder'!D19</f>
        <v>0</v>
      </c>
      <c r="E108" s="42">
        <f>'[27]Appendix2 1415 Feeder'!E19</f>
        <v>0</v>
      </c>
      <c r="F108" s="42">
        <f>'[27]Appendix2 1415 Feeder'!F19</f>
        <v>0</v>
      </c>
      <c r="G108" s="42">
        <f>'[27]Appendix2 1415 Feeder'!G19</f>
        <v>0</v>
      </c>
      <c r="H108" s="42">
        <f>'[27]Appendix2 1415 Feeder'!H19</f>
        <v>0</v>
      </c>
      <c r="I108" s="42">
        <v>0</v>
      </c>
      <c r="J108" s="40">
        <f t="shared" si="31"/>
        <v>52.728</v>
      </c>
      <c r="K108" s="80">
        <f t="shared" si="30"/>
        <v>0</v>
      </c>
    </row>
    <row r="109" spans="1:11" ht="12.75">
      <c r="A109" s="11" t="s">
        <v>67</v>
      </c>
      <c r="B109" s="41">
        <f>'2013-14'!J109</f>
        <v>841.712</v>
      </c>
      <c r="C109" s="42">
        <f>'[27]Appendix2 1415 Feeder'!C20</f>
        <v>0</v>
      </c>
      <c r="D109" s="42">
        <f>'[27]Appendix2 1415 Feeder'!D20</f>
        <v>0</v>
      </c>
      <c r="E109" s="42">
        <f>'[27]Appendix2 1415 Feeder'!E20</f>
        <v>0</v>
      </c>
      <c r="F109" s="42">
        <f>'[27]Appendix2 1415 Feeder'!F20</f>
        <v>0</v>
      </c>
      <c r="G109" s="42">
        <f>'[27]Appendix2 1415 Feeder'!G20</f>
        <v>0</v>
      </c>
      <c r="H109" s="42">
        <f>'[27]Appendix2 1415 Feeder'!H20</f>
        <v>0</v>
      </c>
      <c r="I109" s="42">
        <v>0</v>
      </c>
      <c r="J109" s="40">
        <f t="shared" si="31"/>
        <v>841.712</v>
      </c>
      <c r="K109" s="80">
        <f t="shared" si="30"/>
        <v>0</v>
      </c>
    </row>
    <row r="110" spans="1:11" ht="12.75">
      <c r="A110" s="29"/>
      <c r="B110" s="45"/>
      <c r="C110" s="46"/>
      <c r="D110" s="46"/>
      <c r="E110" s="46"/>
      <c r="F110" s="46"/>
      <c r="G110" s="46"/>
      <c r="H110" s="46"/>
      <c r="I110" s="46"/>
      <c r="J110" s="46"/>
      <c r="K110" s="20"/>
    </row>
    <row r="111" spans="1:14" ht="41.25" customHeight="1">
      <c r="A111" s="32" t="s">
        <v>120</v>
      </c>
      <c r="B111" s="49">
        <f aca="true" t="shared" si="32" ref="B111:I111">+B4+B27+B49+B87</f>
        <v>22142.46437485</v>
      </c>
      <c r="C111" s="50">
        <f t="shared" si="32"/>
        <v>175.6613032425002</v>
      </c>
      <c r="D111" s="50">
        <f t="shared" si="32"/>
        <v>-210</v>
      </c>
      <c r="E111" s="50">
        <f t="shared" si="32"/>
        <v>-685.53725</v>
      </c>
      <c r="F111" s="50">
        <f t="shared" si="32"/>
        <v>-20</v>
      </c>
      <c r="G111" s="50">
        <f t="shared" si="32"/>
        <v>-272.365</v>
      </c>
      <c r="H111" s="50">
        <f t="shared" si="32"/>
        <v>-210</v>
      </c>
      <c r="I111" s="50">
        <f t="shared" si="32"/>
        <v>-237</v>
      </c>
      <c r="J111" s="50">
        <f>+J4+J27+J49+J87</f>
        <v>20683.2234280925</v>
      </c>
      <c r="K111" s="81">
        <f>+(J111-B111)/B111</f>
        <v>-0.06590237301747419</v>
      </c>
      <c r="N111" s="60">
        <f>+J111-B111</f>
        <v>-1459.240946757498</v>
      </c>
    </row>
    <row r="112" spans="1:11" ht="12.75">
      <c r="A112" s="33"/>
      <c r="B112" s="1"/>
      <c r="C112" s="1"/>
      <c r="D112" s="1"/>
      <c r="E112" s="1"/>
      <c r="F112" s="1"/>
      <c r="G112" s="1"/>
      <c r="H112" s="1"/>
      <c r="I112" s="1"/>
      <c r="J112" s="22"/>
      <c r="K112" s="23"/>
    </row>
    <row r="113" spans="1:10" ht="12.75">
      <c r="A113" s="33"/>
      <c r="B113" s="1"/>
      <c r="C113" s="1"/>
      <c r="D113" s="1"/>
      <c r="E113" s="1"/>
      <c r="F113" s="1"/>
      <c r="G113" s="1"/>
      <c r="H113" s="1"/>
      <c r="I113" s="1"/>
      <c r="J113" s="1"/>
    </row>
    <row r="114" spans="3:10" ht="12.75" hidden="1">
      <c r="C114" s="12">
        <v>16</v>
      </c>
      <c r="D114" s="12">
        <v>1141</v>
      </c>
      <c r="E114" s="12">
        <v>-1505.0497</v>
      </c>
      <c r="F114" s="12">
        <v>-756</v>
      </c>
      <c r="G114" s="12">
        <v>-537.74</v>
      </c>
      <c r="H114" s="12">
        <v>-340.8</v>
      </c>
      <c r="J114" s="12">
        <v>19468.081149999998</v>
      </c>
    </row>
    <row r="115" ht="12.75" hidden="1"/>
    <row r="116" ht="12.75" hidden="1"/>
    <row r="117" spans="3:10" ht="12.75" hidden="1">
      <c r="C117" s="60">
        <f aca="true" t="shared" si="33" ref="C117:J117">+C114-C111</f>
        <v>-159.6613032425002</v>
      </c>
      <c r="D117" s="60">
        <f t="shared" si="33"/>
        <v>1351</v>
      </c>
      <c r="E117" s="60">
        <f t="shared" si="33"/>
        <v>-819.5124500000001</v>
      </c>
      <c r="F117" s="60">
        <f t="shared" si="33"/>
        <v>-736</v>
      </c>
      <c r="G117" s="60">
        <f t="shared" si="33"/>
        <v>-265.375</v>
      </c>
      <c r="H117" s="60">
        <f t="shared" si="33"/>
        <v>-130.8</v>
      </c>
      <c r="I117" s="60"/>
      <c r="J117" s="60">
        <f t="shared" si="33"/>
        <v>-1215.1422780925022</v>
      </c>
    </row>
    <row r="118" ht="12.75" hidden="1"/>
  </sheetData>
  <autoFilter ref="A3:K111"/>
  <mergeCells count="1">
    <mergeCell ref="A1:K1"/>
  </mergeCells>
  <conditionalFormatting sqref="K101:K102 K75 K85:K86 K110 K69 K57 K48 K50 K28 K26 K18 K88 K2:K3 K5 K12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6299212598425197" header="0.31496062992125984" footer="0.1968503937007874"/>
  <pageSetup fitToHeight="5" horizontalDpi="600" verticalDpi="600" orientation="landscape" paperSize="9" scale="85" r:id="rId1"/>
  <headerFooter alignWithMargins="0">
    <oddHeader>&amp;R&amp;16Appendix 2</oddHeader>
    <oddFooter>&amp;R&amp;16&amp;P</oddFooter>
  </headerFooter>
  <rowBreaks count="3" manualBreakCount="3">
    <brk id="26" max="255" man="1"/>
    <brk id="48" max="9" man="1"/>
    <brk id="85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117"/>
  <sheetViews>
    <sheetView tabSelected="1" view="pageBreakPreview" zoomScale="60" zoomScaleNormal="70" workbookViewId="0" topLeftCell="A1">
      <pane xSplit="1" ySplit="3" topLeftCell="B61" activePane="bottomRight" state="frozen"/>
      <selection pane="topLeft" activeCell="AL46" sqref="AL46"/>
      <selection pane="topRight" activeCell="AL46" sqref="AL46"/>
      <selection pane="bottomLeft" activeCell="AL46" sqref="AL46"/>
      <selection pane="bottomRight" activeCell="AL46" sqref="AL46"/>
    </sheetView>
  </sheetViews>
  <sheetFormatPr defaultColWidth="9.140625" defaultRowHeight="12.75"/>
  <cols>
    <col min="1" max="1" width="39.00390625" style="30" bestFit="1" customWidth="1"/>
    <col min="2" max="2" width="12.7109375" style="12" customWidth="1"/>
    <col min="3" max="3" width="14.7109375" style="12" customWidth="1"/>
    <col min="4" max="7" width="12.7109375" style="12" customWidth="1"/>
    <col min="8" max="9" width="14.140625" style="12" customWidth="1"/>
    <col min="10" max="10" width="12.7109375" style="12" customWidth="1"/>
    <col min="11" max="11" width="11.7109375" style="12" bestFit="1" customWidth="1"/>
    <col min="12" max="13" width="9.140625" style="12" customWidth="1"/>
    <col min="14" max="35" width="0" style="12" hidden="1" customWidth="1"/>
    <col min="36" max="16384" width="9.140625" style="12" customWidth="1"/>
  </cols>
  <sheetData>
    <row r="1" spans="1:11" ht="27.75">
      <c r="A1" s="158" t="s">
        <v>179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</row>
    <row r="2" spans="1:11" ht="90.75" customHeight="1">
      <c r="A2" s="32"/>
      <c r="B2" s="4" t="s">
        <v>178</v>
      </c>
      <c r="C2" s="5" t="s">
        <v>10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247</v>
      </c>
      <c r="J2" s="5" t="s">
        <v>180</v>
      </c>
      <c r="K2" s="2" t="s">
        <v>114</v>
      </c>
    </row>
    <row r="3" spans="1:11" ht="13.5" customHeight="1">
      <c r="A3" s="52"/>
      <c r="B3" s="24" t="s">
        <v>73</v>
      </c>
      <c r="C3" s="7" t="s">
        <v>73</v>
      </c>
      <c r="D3" s="7" t="s">
        <v>73</v>
      </c>
      <c r="E3" s="7" t="s">
        <v>73</v>
      </c>
      <c r="F3" s="7" t="s">
        <v>73</v>
      </c>
      <c r="G3" s="7" t="s">
        <v>73</v>
      </c>
      <c r="H3" s="7" t="s">
        <v>73</v>
      </c>
      <c r="I3" s="7" t="s">
        <v>73</v>
      </c>
      <c r="J3" s="7" t="s">
        <v>73</v>
      </c>
      <c r="K3" s="4"/>
    </row>
    <row r="4" spans="1:11" ht="12.75">
      <c r="A4" s="25" t="s">
        <v>24</v>
      </c>
      <c r="B4" s="34">
        <f aca="true" t="shared" si="0" ref="B4:J4">+B6+B13+B19</f>
        <v>3796.8150000000014</v>
      </c>
      <c r="C4" s="35">
        <f t="shared" si="0"/>
        <v>0</v>
      </c>
      <c r="D4" s="35">
        <f t="shared" si="0"/>
        <v>0</v>
      </c>
      <c r="E4" s="35">
        <f t="shared" si="0"/>
        <v>-103</v>
      </c>
      <c r="F4" s="35">
        <f t="shared" si="0"/>
        <v>0</v>
      </c>
      <c r="G4" s="35">
        <f t="shared" si="0"/>
        <v>-130.537</v>
      </c>
      <c r="H4" s="35">
        <f t="shared" si="0"/>
        <v>-105.487</v>
      </c>
      <c r="I4" s="35">
        <f t="shared" si="0"/>
        <v>0</v>
      </c>
      <c r="J4" s="35">
        <f t="shared" si="0"/>
        <v>3457.791</v>
      </c>
      <c r="K4" s="77">
        <f>+(J4-B4)/B4</f>
        <v>-0.08929168263399748</v>
      </c>
    </row>
    <row r="5" spans="1:11" ht="12.75">
      <c r="A5" s="26"/>
      <c r="B5" s="36"/>
      <c r="C5" s="37"/>
      <c r="D5" s="37"/>
      <c r="E5" s="37"/>
      <c r="F5" s="37"/>
      <c r="G5" s="37"/>
      <c r="H5" s="37"/>
      <c r="I5" s="78"/>
      <c r="J5" s="78"/>
      <c r="K5" s="16"/>
    </row>
    <row r="6" spans="1:11" ht="12.75">
      <c r="A6" s="26" t="s">
        <v>25</v>
      </c>
      <c r="B6" s="36">
        <f aca="true" t="shared" si="1" ref="B6:J6">+SUM(B7:B11)</f>
        <v>802.899</v>
      </c>
      <c r="C6" s="38">
        <f t="shared" si="1"/>
        <v>0</v>
      </c>
      <c r="D6" s="38">
        <f t="shared" si="1"/>
        <v>0</v>
      </c>
      <c r="E6" s="38">
        <f t="shared" si="1"/>
        <v>0</v>
      </c>
      <c r="F6" s="38">
        <f t="shared" si="1"/>
        <v>0</v>
      </c>
      <c r="G6" s="38">
        <f t="shared" si="1"/>
        <v>69.463</v>
      </c>
      <c r="H6" s="38">
        <f t="shared" si="1"/>
        <v>-86</v>
      </c>
      <c r="I6" s="38">
        <f t="shared" si="1"/>
        <v>0</v>
      </c>
      <c r="J6" s="38">
        <f t="shared" si="1"/>
        <v>786.362</v>
      </c>
      <c r="K6" s="79">
        <f aca="true" t="shared" si="2" ref="K6:K11">+(J6-B6)/B6</f>
        <v>-0.02059661302355593</v>
      </c>
    </row>
    <row r="7" spans="1:11" ht="12.75">
      <c r="A7" s="10" t="s">
        <v>26</v>
      </c>
      <c r="B7" s="39">
        <f>'2014-15'!J7</f>
        <v>17.424999999999997</v>
      </c>
      <c r="C7" s="40">
        <f>'[17]Appendix2 1516 Feeder'!C15</f>
        <v>0</v>
      </c>
      <c r="D7" s="40">
        <f>'[17]Appendix2 1516 Feeder'!D15</f>
        <v>0</v>
      </c>
      <c r="E7" s="40">
        <f>'[17]Appendix2 1516 Feeder'!E15</f>
        <v>0</v>
      </c>
      <c r="F7" s="40">
        <f>'[17]Appendix2 1516 Feeder'!F15</f>
        <v>0</v>
      </c>
      <c r="G7" s="40">
        <f>'[17]Appendix2 1516 Feeder'!G15</f>
        <v>0</v>
      </c>
      <c r="H7" s="40">
        <f>'[17]Appendix2 1516 Feeder'!H15</f>
        <v>-11</v>
      </c>
      <c r="I7" s="40">
        <v>0</v>
      </c>
      <c r="J7" s="40">
        <f>+B7+SUM(C7:I7)</f>
        <v>6.424999999999997</v>
      </c>
      <c r="K7" s="80">
        <f t="shared" si="2"/>
        <v>-0.6312769010043042</v>
      </c>
    </row>
    <row r="8" spans="1:11" ht="12.75">
      <c r="A8" s="10" t="s">
        <v>27</v>
      </c>
      <c r="B8" s="39">
        <f>'2014-15'!J8</f>
        <v>8.370000000000005</v>
      </c>
      <c r="C8" s="40">
        <f>'[17]Appendix2 1516 Feeder'!C16</f>
        <v>0</v>
      </c>
      <c r="D8" s="40">
        <f>'[17]Appendix2 1516 Feeder'!D16</f>
        <v>0</v>
      </c>
      <c r="E8" s="40">
        <f>'[17]Appendix2 1516 Feeder'!E16</f>
        <v>0</v>
      </c>
      <c r="F8" s="40">
        <f>'[17]Appendix2 1516 Feeder'!F16</f>
        <v>0</v>
      </c>
      <c r="G8" s="40">
        <f>'[17]Appendix2 1516 Feeder'!G16</f>
        <v>-5.537</v>
      </c>
      <c r="H8" s="40">
        <f>'[17]Appendix2 1516 Feeder'!H16</f>
        <v>0</v>
      </c>
      <c r="I8" s="40">
        <v>0</v>
      </c>
      <c r="J8" s="40">
        <f>+B8+SUM(C8:I8)</f>
        <v>2.8330000000000046</v>
      </c>
      <c r="K8" s="80">
        <f t="shared" si="2"/>
        <v>-0.6615292712066901</v>
      </c>
    </row>
    <row r="9" spans="1:11" ht="12.75">
      <c r="A9" s="10" t="s">
        <v>110</v>
      </c>
      <c r="B9" s="39">
        <f>'2014-15'!J9</f>
        <v>392.503</v>
      </c>
      <c r="C9" s="40">
        <f>'[17]Appendix2 1516 Feeder'!C17</f>
        <v>0</v>
      </c>
      <c r="D9" s="40">
        <f>'[17]Appendix2 1516 Feeder'!D17</f>
        <v>0</v>
      </c>
      <c r="E9" s="40">
        <f>'[17]Appendix2 1516 Feeder'!E17</f>
        <v>0</v>
      </c>
      <c r="F9" s="40">
        <f>'[17]Appendix2 1516 Feeder'!F17</f>
        <v>0</v>
      </c>
      <c r="G9" s="40">
        <f>'[17]Appendix2 1516 Feeder'!G17</f>
        <v>0</v>
      </c>
      <c r="H9" s="40">
        <f>'[17]Appendix2 1516 Feeder'!H17</f>
        <v>0</v>
      </c>
      <c r="I9" s="40">
        <v>0</v>
      </c>
      <c r="J9" s="40">
        <f>+B9+SUM(C9:I9)</f>
        <v>392.503</v>
      </c>
      <c r="K9" s="80">
        <f t="shared" si="2"/>
        <v>0</v>
      </c>
    </row>
    <row r="10" spans="1:11" ht="12.75">
      <c r="A10" s="10" t="s">
        <v>28</v>
      </c>
      <c r="B10" s="39">
        <f>'2014-15'!J10</f>
        <v>-69.279</v>
      </c>
      <c r="C10" s="40">
        <f>'[17]Appendix2 1516 Feeder'!C18</f>
        <v>0</v>
      </c>
      <c r="D10" s="40">
        <f>'[17]Appendix2 1516 Feeder'!D18</f>
        <v>0</v>
      </c>
      <c r="E10" s="40">
        <f>'[17]Appendix2 1516 Feeder'!E18</f>
        <v>0</v>
      </c>
      <c r="F10" s="40">
        <f>'[17]Appendix2 1516 Feeder'!F18</f>
        <v>0</v>
      </c>
      <c r="G10" s="40">
        <f>'[17]Appendix2 1516 Feeder'!G18</f>
        <v>0</v>
      </c>
      <c r="H10" s="40">
        <f>'[17]Appendix2 1516 Feeder'!H18</f>
        <v>0</v>
      </c>
      <c r="I10" s="40">
        <v>0</v>
      </c>
      <c r="J10" s="40">
        <f>+B10+SUM(C10:I10)</f>
        <v>-69.279</v>
      </c>
      <c r="K10" s="80">
        <f t="shared" si="2"/>
        <v>0</v>
      </c>
    </row>
    <row r="11" spans="1:11" ht="12.75">
      <c r="A11" s="10" t="s">
        <v>82</v>
      </c>
      <c r="B11" s="39">
        <f>'2014-15'!J11</f>
        <v>453.88</v>
      </c>
      <c r="C11" s="40">
        <f>'[17]Appendix2 1516 Feeder'!C19</f>
        <v>0</v>
      </c>
      <c r="D11" s="40">
        <f>'[17]Appendix2 1516 Feeder'!D19</f>
        <v>0</v>
      </c>
      <c r="E11" s="40">
        <f>'[17]Appendix2 1516 Feeder'!E19</f>
        <v>0</v>
      </c>
      <c r="F11" s="40">
        <f>'[17]Appendix2 1516 Feeder'!F19</f>
        <v>0</v>
      </c>
      <c r="G11" s="40">
        <f>'[17]Appendix2 1516 Feeder'!G19</f>
        <v>75</v>
      </c>
      <c r="H11" s="40">
        <f>'[17]Appendix2 1516 Feeder'!H19</f>
        <v>-75</v>
      </c>
      <c r="I11" s="40">
        <v>0</v>
      </c>
      <c r="J11" s="40">
        <f>+B11+SUM(C11:I11)</f>
        <v>453.88</v>
      </c>
      <c r="K11" s="80">
        <f t="shared" si="2"/>
        <v>0</v>
      </c>
    </row>
    <row r="12" spans="1:11" ht="12.75">
      <c r="A12" s="26"/>
      <c r="B12" s="36"/>
      <c r="C12" s="37"/>
      <c r="D12" s="37"/>
      <c r="E12" s="37"/>
      <c r="F12" s="37"/>
      <c r="G12" s="37"/>
      <c r="H12" s="37"/>
      <c r="I12" s="37"/>
      <c r="J12" s="37"/>
      <c r="K12" s="16"/>
    </row>
    <row r="13" spans="1:11" ht="12.75">
      <c r="A13" s="28" t="s">
        <v>35</v>
      </c>
      <c r="B13" s="36">
        <f aca="true" t="shared" si="3" ref="B13:J13">+SUM(B14:B17)</f>
        <v>-3845.2669999999994</v>
      </c>
      <c r="C13" s="37">
        <f t="shared" si="3"/>
        <v>0</v>
      </c>
      <c r="D13" s="37">
        <f t="shared" si="3"/>
        <v>0</v>
      </c>
      <c r="E13" s="37">
        <f t="shared" si="3"/>
        <v>-103</v>
      </c>
      <c r="F13" s="37">
        <f t="shared" si="3"/>
        <v>0</v>
      </c>
      <c r="G13" s="37">
        <f t="shared" si="3"/>
        <v>-200</v>
      </c>
      <c r="H13" s="37">
        <f t="shared" si="3"/>
        <v>0</v>
      </c>
      <c r="I13" s="37">
        <f t="shared" si="3"/>
        <v>0</v>
      </c>
      <c r="J13" s="37">
        <f t="shared" si="3"/>
        <v>-4148.267</v>
      </c>
      <c r="K13" s="79">
        <f>+(J13-B13)/B13</f>
        <v>0.07879816928187315</v>
      </c>
    </row>
    <row r="14" spans="1:11" ht="12.75">
      <c r="A14" s="21" t="s">
        <v>85</v>
      </c>
      <c r="B14" s="41">
        <f>'2014-15'!J14</f>
        <v>-6446.623</v>
      </c>
      <c r="C14" s="42">
        <f>'[15]Appendix2 1516 Feeder'!C15</f>
        <v>0</v>
      </c>
      <c r="D14" s="42">
        <f>'[15]Appendix2 1516 Feeder'!D15</f>
        <v>0</v>
      </c>
      <c r="E14" s="42">
        <f>'[15]Appendix2 1516 Feeder'!E15</f>
        <v>0</v>
      </c>
      <c r="F14" s="42">
        <f>'[15]Appendix2 1516 Feeder'!F15</f>
        <v>0</v>
      </c>
      <c r="G14" s="42">
        <f>'[15]Appendix2 1516 Feeder'!G15</f>
        <v>-200</v>
      </c>
      <c r="H14" s="42">
        <f>'[15]Appendix2 1516 Feeder'!H15</f>
        <v>0</v>
      </c>
      <c r="I14" s="42">
        <v>0</v>
      </c>
      <c r="J14" s="40">
        <f>+B14+SUM(C14:I14)</f>
        <v>-6646.623</v>
      </c>
      <c r="K14" s="80">
        <f>+(J14-B14)/B14</f>
        <v>0.031023995043606555</v>
      </c>
    </row>
    <row r="15" spans="1:11" ht="12.75">
      <c r="A15" s="21" t="s">
        <v>86</v>
      </c>
      <c r="B15" s="41">
        <f>'2014-15'!J15</f>
        <v>876.4519999999999</v>
      </c>
      <c r="C15" s="42">
        <f>'[15]Appendix2 1516 Feeder'!C16</f>
        <v>0</v>
      </c>
      <c r="D15" s="42">
        <f>'[15]Appendix2 1516 Feeder'!D16</f>
        <v>0</v>
      </c>
      <c r="E15" s="42">
        <f>'[15]Appendix2 1516 Feeder'!E16</f>
        <v>0</v>
      </c>
      <c r="F15" s="42">
        <f>'[15]Appendix2 1516 Feeder'!F16</f>
        <v>0</v>
      </c>
      <c r="G15" s="42">
        <f>'[15]Appendix2 1516 Feeder'!G16</f>
        <v>0</v>
      </c>
      <c r="H15" s="42">
        <f>'[15]Appendix2 1516 Feeder'!H16</f>
        <v>0</v>
      </c>
      <c r="I15" s="42">
        <v>0</v>
      </c>
      <c r="J15" s="40">
        <f>+B15+SUM(C15:I15)</f>
        <v>876.4519999999999</v>
      </c>
      <c r="K15" s="80">
        <f>+(J15-B15)/B15</f>
        <v>0</v>
      </c>
    </row>
    <row r="16" spans="1:11" ht="12.75">
      <c r="A16" s="21" t="s">
        <v>87</v>
      </c>
      <c r="B16" s="41">
        <f>'2014-15'!J16</f>
        <v>170.982</v>
      </c>
      <c r="C16" s="42">
        <f>'[15]Appendix2 1516 Feeder'!C17</f>
        <v>0</v>
      </c>
      <c r="D16" s="42">
        <f>'[15]Appendix2 1516 Feeder'!D17</f>
        <v>0</v>
      </c>
      <c r="E16" s="42">
        <f>'[15]Appendix2 1516 Feeder'!E17</f>
        <v>-30</v>
      </c>
      <c r="F16" s="42">
        <f>'[15]Appendix2 1516 Feeder'!F17</f>
        <v>0</v>
      </c>
      <c r="G16" s="42">
        <f>'[15]Appendix2 1516 Feeder'!G17</f>
        <v>0</v>
      </c>
      <c r="H16" s="42">
        <f>'[15]Appendix2 1516 Feeder'!H17</f>
        <v>0</v>
      </c>
      <c r="I16" s="42">
        <v>0</v>
      </c>
      <c r="J16" s="40">
        <f>+B16+SUM(C16:I16)</f>
        <v>140.982</v>
      </c>
      <c r="K16" s="80">
        <f>+(J16-B16)/B16</f>
        <v>-0.17545706565603397</v>
      </c>
    </row>
    <row r="17" spans="1:11" ht="12.75">
      <c r="A17" s="21" t="s">
        <v>110</v>
      </c>
      <c r="B17" s="41">
        <f>'2014-15'!J17</f>
        <v>1553.922</v>
      </c>
      <c r="C17" s="42">
        <f>'[15]Appendix2 1516 Feeder'!C18</f>
        <v>0</v>
      </c>
      <c r="D17" s="42">
        <f>'[15]Appendix2 1516 Feeder'!D18</f>
        <v>0</v>
      </c>
      <c r="E17" s="42">
        <f>'[15]Appendix2 1516 Feeder'!E18</f>
        <v>-73</v>
      </c>
      <c r="F17" s="42">
        <f>'[15]Appendix2 1516 Feeder'!F18</f>
        <v>0</v>
      </c>
      <c r="G17" s="42">
        <f>'[15]Appendix2 1516 Feeder'!G18</f>
        <v>0</v>
      </c>
      <c r="H17" s="42">
        <f>'[15]Appendix2 1516 Feeder'!H18</f>
        <v>0</v>
      </c>
      <c r="I17" s="42">
        <v>0</v>
      </c>
      <c r="J17" s="40">
        <f>+B17+SUM(C17:I17)</f>
        <v>1480.922</v>
      </c>
      <c r="K17" s="80">
        <f>+(J17-B17)/B17</f>
        <v>-0.046977904939887585</v>
      </c>
    </row>
    <row r="18" spans="1:11" ht="12.75">
      <c r="A18" s="27"/>
      <c r="B18" s="36"/>
      <c r="C18" s="37"/>
      <c r="D18" s="37"/>
      <c r="E18" s="37"/>
      <c r="F18" s="37"/>
      <c r="G18" s="37"/>
      <c r="H18" s="37"/>
      <c r="I18" s="37"/>
      <c r="J18" s="37"/>
      <c r="K18" s="16"/>
    </row>
    <row r="19" spans="1:11" ht="12.75">
      <c r="A19" s="28" t="s">
        <v>243</v>
      </c>
      <c r="B19" s="36">
        <f aca="true" t="shared" si="4" ref="B19:J19">+SUM(B20:B25)</f>
        <v>6839.183000000001</v>
      </c>
      <c r="C19" s="37">
        <f t="shared" si="4"/>
        <v>0</v>
      </c>
      <c r="D19" s="37">
        <f t="shared" si="4"/>
        <v>0</v>
      </c>
      <c r="E19" s="37">
        <f t="shared" si="4"/>
        <v>0</v>
      </c>
      <c r="F19" s="37">
        <f t="shared" si="4"/>
        <v>0</v>
      </c>
      <c r="G19" s="37">
        <f t="shared" si="4"/>
        <v>0</v>
      </c>
      <c r="H19" s="37">
        <f t="shared" si="4"/>
        <v>-19.487</v>
      </c>
      <c r="I19" s="37">
        <f t="shared" si="4"/>
        <v>0</v>
      </c>
      <c r="J19" s="37">
        <f t="shared" si="4"/>
        <v>6819.696</v>
      </c>
      <c r="K19" s="79">
        <f aca="true" t="shared" si="5" ref="K19:K25">+(J19-B19)/B19</f>
        <v>-0.0028493169432666134</v>
      </c>
    </row>
    <row r="20" spans="1:11" ht="12.75">
      <c r="A20" s="11" t="s">
        <v>40</v>
      </c>
      <c r="B20" s="41">
        <f>'2014-15'!J20</f>
        <v>71.947</v>
      </c>
      <c r="C20" s="42">
        <f>'[16]Appendix2 1516 Feeder'!C15</f>
        <v>0</v>
      </c>
      <c r="D20" s="42">
        <f>'[16]Appendix2 1516 Feeder'!D15</f>
        <v>0</v>
      </c>
      <c r="E20" s="42">
        <f>'[16]Appendix2 1516 Feeder'!E15</f>
        <v>0</v>
      </c>
      <c r="F20" s="42">
        <f>'[16]Appendix2 1516 Feeder'!F15</f>
        <v>0</v>
      </c>
      <c r="G20" s="42">
        <f>'[16]Appendix2 1516 Feeder'!G15</f>
        <v>0</v>
      </c>
      <c r="H20" s="42">
        <f>'[16]Appendix2 1516 Feeder'!H15</f>
        <v>0</v>
      </c>
      <c r="I20" s="42">
        <v>0</v>
      </c>
      <c r="J20" s="40">
        <f aca="true" t="shared" si="6" ref="J20:J25">+B20+SUM(C20:I20)</f>
        <v>71.947</v>
      </c>
      <c r="K20" s="80">
        <f t="shared" si="5"/>
        <v>0</v>
      </c>
    </row>
    <row r="21" spans="1:11" ht="12.75">
      <c r="A21" s="11" t="s">
        <v>142</v>
      </c>
      <c r="B21" s="41">
        <f>'2014-15'!J21</f>
        <v>1166.9650000000001</v>
      </c>
      <c r="C21" s="42">
        <f>'[16]Appendix2 1516 Feeder'!C16</f>
        <v>0</v>
      </c>
      <c r="D21" s="42">
        <f>'[16]Appendix2 1516 Feeder'!D16</f>
        <v>0</v>
      </c>
      <c r="E21" s="42">
        <f>'[16]Appendix2 1516 Feeder'!E16</f>
        <v>0</v>
      </c>
      <c r="F21" s="42">
        <f>'[16]Appendix2 1516 Feeder'!F16</f>
        <v>0</v>
      </c>
      <c r="G21" s="42">
        <f>'[16]Appendix2 1516 Feeder'!G16</f>
        <v>0</v>
      </c>
      <c r="H21" s="42">
        <f>'[16]Appendix2 1516 Feeder'!H16</f>
        <v>0</v>
      </c>
      <c r="I21" s="42">
        <v>0</v>
      </c>
      <c r="J21" s="40">
        <f t="shared" si="6"/>
        <v>1166.9650000000001</v>
      </c>
      <c r="K21" s="80">
        <f t="shared" si="5"/>
        <v>0</v>
      </c>
    </row>
    <row r="22" spans="1:11" ht="12.75">
      <c r="A22" s="11" t="s">
        <v>143</v>
      </c>
      <c r="B22" s="41">
        <f>'2014-15'!J22</f>
        <v>1418.759</v>
      </c>
      <c r="C22" s="42">
        <f>'[16]Appendix2 1516 Feeder'!C17</f>
        <v>0</v>
      </c>
      <c r="D22" s="42">
        <f>'[16]Appendix2 1516 Feeder'!D17</f>
        <v>0</v>
      </c>
      <c r="E22" s="42">
        <f>'[16]Appendix2 1516 Feeder'!E17</f>
        <v>0</v>
      </c>
      <c r="F22" s="42">
        <f>'[16]Appendix2 1516 Feeder'!F17</f>
        <v>0</v>
      </c>
      <c r="G22" s="42">
        <f>'[16]Appendix2 1516 Feeder'!G17</f>
        <v>0</v>
      </c>
      <c r="H22" s="42">
        <f>'[16]Appendix2 1516 Feeder'!H17</f>
        <v>0</v>
      </c>
      <c r="I22" s="42">
        <v>0</v>
      </c>
      <c r="J22" s="40">
        <f t="shared" si="6"/>
        <v>1418.759</v>
      </c>
      <c r="K22" s="80">
        <f t="shared" si="5"/>
        <v>0</v>
      </c>
    </row>
    <row r="23" spans="1:11" ht="12.75">
      <c r="A23" s="11" t="s">
        <v>144</v>
      </c>
      <c r="B23" s="41">
        <f>'2014-15'!J23</f>
        <v>526.365</v>
      </c>
      <c r="C23" s="42">
        <f>'[16]Appendix2 1516 Feeder'!C18</f>
        <v>0</v>
      </c>
      <c r="D23" s="42">
        <f>'[16]Appendix2 1516 Feeder'!D18</f>
        <v>0</v>
      </c>
      <c r="E23" s="42">
        <f>'[16]Appendix2 1516 Feeder'!E18</f>
        <v>0</v>
      </c>
      <c r="F23" s="42">
        <f>'[16]Appendix2 1516 Feeder'!F18</f>
        <v>0</v>
      </c>
      <c r="G23" s="42">
        <f>'[16]Appendix2 1516 Feeder'!G18</f>
        <v>0</v>
      </c>
      <c r="H23" s="42">
        <f>'[16]Appendix2 1516 Feeder'!H18</f>
        <v>0</v>
      </c>
      <c r="I23" s="42">
        <v>0</v>
      </c>
      <c r="J23" s="40">
        <f t="shared" si="6"/>
        <v>526.365</v>
      </c>
      <c r="K23" s="80">
        <f t="shared" si="5"/>
        <v>0</v>
      </c>
    </row>
    <row r="24" spans="1:11" ht="12.75">
      <c r="A24" s="11" t="s">
        <v>146</v>
      </c>
      <c r="B24" s="41">
        <f>'2014-15'!J24</f>
        <v>1021.251</v>
      </c>
      <c r="C24" s="42">
        <f>'[16]Appendix2 1516 Feeder'!C19</f>
        <v>0</v>
      </c>
      <c r="D24" s="42">
        <f>'[16]Appendix2 1516 Feeder'!D19</f>
        <v>0</v>
      </c>
      <c r="E24" s="42">
        <f>'[16]Appendix2 1516 Feeder'!E19</f>
        <v>0</v>
      </c>
      <c r="F24" s="42">
        <f>'[16]Appendix2 1516 Feeder'!F19</f>
        <v>0</v>
      </c>
      <c r="G24" s="42">
        <f>'[16]Appendix2 1516 Feeder'!G19</f>
        <v>0</v>
      </c>
      <c r="H24" s="42">
        <f>'[16]Appendix2 1516 Feeder'!H19</f>
        <v>-19.487</v>
      </c>
      <c r="I24" s="42">
        <v>0</v>
      </c>
      <c r="J24" s="40">
        <f t="shared" si="6"/>
        <v>1001.764</v>
      </c>
      <c r="K24" s="80">
        <f t="shared" si="5"/>
        <v>-0.019081499063403576</v>
      </c>
    </row>
    <row r="25" spans="1:11" ht="12.75">
      <c r="A25" s="11" t="s">
        <v>145</v>
      </c>
      <c r="B25" s="41">
        <f>'2014-15'!J25</f>
        <v>2633.896</v>
      </c>
      <c r="C25" s="42">
        <f>'[16]Appendix2 1516 Feeder'!C20</f>
        <v>0</v>
      </c>
      <c r="D25" s="42">
        <f>'[16]Appendix2 1516 Feeder'!D20</f>
        <v>0</v>
      </c>
      <c r="E25" s="42">
        <f>'[16]Appendix2 1516 Feeder'!E20</f>
        <v>0</v>
      </c>
      <c r="F25" s="42">
        <f>'[16]Appendix2 1516 Feeder'!F20</f>
        <v>0</v>
      </c>
      <c r="G25" s="42">
        <f>'[16]Appendix2 1516 Feeder'!G20</f>
        <v>0</v>
      </c>
      <c r="H25" s="42">
        <f>'[16]Appendix2 1516 Feeder'!H20</f>
        <v>0</v>
      </c>
      <c r="I25" s="42">
        <v>0</v>
      </c>
      <c r="J25" s="40">
        <f t="shared" si="6"/>
        <v>2633.896</v>
      </c>
      <c r="K25" s="80">
        <f t="shared" si="5"/>
        <v>0</v>
      </c>
    </row>
    <row r="26" spans="1:11" ht="12.75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20"/>
    </row>
    <row r="27" spans="1:11" ht="12.75">
      <c r="A27" s="25" t="s">
        <v>36</v>
      </c>
      <c r="B27" s="34">
        <f aca="true" t="shared" si="7" ref="B27:J27">+B29+B42+B37</f>
        <v>7284.6690280924995</v>
      </c>
      <c r="C27" s="35">
        <f t="shared" si="7"/>
        <v>0</v>
      </c>
      <c r="D27" s="35">
        <f t="shared" si="7"/>
        <v>0</v>
      </c>
      <c r="E27" s="35">
        <f t="shared" si="7"/>
        <v>-260</v>
      </c>
      <c r="F27" s="35">
        <f t="shared" si="7"/>
        <v>0</v>
      </c>
      <c r="G27" s="35">
        <f t="shared" si="7"/>
        <v>0</v>
      </c>
      <c r="H27" s="35">
        <f t="shared" si="7"/>
        <v>-28.9</v>
      </c>
      <c r="I27" s="35">
        <f t="shared" si="7"/>
        <v>0</v>
      </c>
      <c r="J27" s="35">
        <f t="shared" si="7"/>
        <v>6995.7690280925</v>
      </c>
      <c r="K27" s="79">
        <f>+(J27-B27)/B27</f>
        <v>-0.03965863087065309</v>
      </c>
    </row>
    <row r="28" spans="1:11" ht="12.75">
      <c r="A28" s="26"/>
      <c r="B28" s="36"/>
      <c r="C28" s="37"/>
      <c r="D28" s="37"/>
      <c r="E28" s="37"/>
      <c r="F28" s="37"/>
      <c r="G28" s="37"/>
      <c r="H28" s="37"/>
      <c r="I28" s="37"/>
      <c r="J28" s="37"/>
      <c r="K28" s="16"/>
    </row>
    <row r="29" spans="1:11" ht="12.75">
      <c r="A29" s="26" t="s">
        <v>7</v>
      </c>
      <c r="B29" s="36">
        <f aca="true" t="shared" si="8" ref="B29:J29">+SUM(B30:B35)</f>
        <v>2029.9210000000003</v>
      </c>
      <c r="C29" s="38">
        <f t="shared" si="8"/>
        <v>0</v>
      </c>
      <c r="D29" s="38">
        <f t="shared" si="8"/>
        <v>0</v>
      </c>
      <c r="E29" s="38">
        <f t="shared" si="8"/>
        <v>-40</v>
      </c>
      <c r="F29" s="38">
        <f t="shared" si="8"/>
        <v>0</v>
      </c>
      <c r="G29" s="38">
        <f t="shared" si="8"/>
        <v>0</v>
      </c>
      <c r="H29" s="38">
        <f t="shared" si="8"/>
        <v>0</v>
      </c>
      <c r="I29" s="38">
        <f t="shared" si="8"/>
        <v>0</v>
      </c>
      <c r="J29" s="38">
        <f t="shared" si="8"/>
        <v>1989.9210000000003</v>
      </c>
      <c r="K29" s="79">
        <f aca="true" t="shared" si="9" ref="K29:K35">+(J29-B29)/B29</f>
        <v>-0.019705200350161406</v>
      </c>
    </row>
    <row r="30" spans="1:11" ht="12.75">
      <c r="A30" s="10" t="s">
        <v>9</v>
      </c>
      <c r="B30" s="41">
        <f>'2014-15'!J30</f>
        <v>1283.228</v>
      </c>
      <c r="C30" s="42">
        <f>+'[23]Appendix2 1516 Feeder'!C15</f>
        <v>0</v>
      </c>
      <c r="D30" s="42">
        <f>+'[23]Appendix2 1516 Feeder'!D15</f>
        <v>0</v>
      </c>
      <c r="E30" s="42">
        <f>+'[23]Appendix2 1516 Feeder'!E15</f>
        <v>-40</v>
      </c>
      <c r="F30" s="42">
        <f>+'[23]Appendix2 1516 Feeder'!F15</f>
        <v>0</v>
      </c>
      <c r="G30" s="42">
        <f>+'[23]Appendix2 1516 Feeder'!G15</f>
        <v>0</v>
      </c>
      <c r="H30" s="42">
        <f>+'[23]Appendix2 1516 Feeder'!H15</f>
        <v>0</v>
      </c>
      <c r="I30" s="42">
        <v>0</v>
      </c>
      <c r="J30" s="40">
        <f aca="true" t="shared" si="10" ref="J30:J35">+B30+SUM(C30:I30)</f>
        <v>1243.228</v>
      </c>
      <c r="K30" s="80">
        <f t="shared" si="9"/>
        <v>-0.031171389651722062</v>
      </c>
    </row>
    <row r="31" spans="1:11" ht="12.75">
      <c r="A31" s="10" t="s">
        <v>11</v>
      </c>
      <c r="B31" s="41">
        <f>'2014-15'!J31</f>
        <v>57.80099999999999</v>
      </c>
      <c r="C31" s="42">
        <f>+'[23]Appendix2 1516 Feeder'!C16</f>
        <v>0</v>
      </c>
      <c r="D31" s="42">
        <f>+'[23]Appendix2 1516 Feeder'!D16</f>
        <v>0</v>
      </c>
      <c r="E31" s="42">
        <f>+'[23]Appendix2 1516 Feeder'!E16</f>
        <v>0</v>
      </c>
      <c r="F31" s="42">
        <f>+'[23]Appendix2 1516 Feeder'!F16</f>
        <v>0</v>
      </c>
      <c r="G31" s="42">
        <f>+'[23]Appendix2 1516 Feeder'!G16</f>
        <v>0</v>
      </c>
      <c r="H31" s="42">
        <f>+'[23]Appendix2 1516 Feeder'!H16</f>
        <v>0</v>
      </c>
      <c r="I31" s="42">
        <v>0</v>
      </c>
      <c r="J31" s="40">
        <f t="shared" si="10"/>
        <v>57.80099999999999</v>
      </c>
      <c r="K31" s="80">
        <f t="shared" si="9"/>
        <v>0</v>
      </c>
    </row>
    <row r="32" spans="1:11" ht="12.75">
      <c r="A32" s="10" t="s">
        <v>12</v>
      </c>
      <c r="B32" s="41">
        <f>'2014-15'!J32</f>
        <v>66.025</v>
      </c>
      <c r="C32" s="42">
        <f>+'[23]Appendix2 1516 Feeder'!C17</f>
        <v>0</v>
      </c>
      <c r="D32" s="42">
        <f>+'[23]Appendix2 1516 Feeder'!D17</f>
        <v>0</v>
      </c>
      <c r="E32" s="42">
        <f>+'[23]Appendix2 1516 Feeder'!E17</f>
        <v>0</v>
      </c>
      <c r="F32" s="42">
        <f>+'[23]Appendix2 1516 Feeder'!F17</f>
        <v>0</v>
      </c>
      <c r="G32" s="42">
        <f>+'[23]Appendix2 1516 Feeder'!G17</f>
        <v>0</v>
      </c>
      <c r="H32" s="42">
        <f>+'[23]Appendix2 1516 Feeder'!H17</f>
        <v>0</v>
      </c>
      <c r="I32" s="42">
        <v>0</v>
      </c>
      <c r="J32" s="40">
        <f t="shared" si="10"/>
        <v>66.025</v>
      </c>
      <c r="K32" s="80">
        <f t="shared" si="9"/>
        <v>0</v>
      </c>
    </row>
    <row r="33" spans="1:11" ht="12.75">
      <c r="A33" s="10" t="s">
        <v>8</v>
      </c>
      <c r="B33" s="41">
        <f>'2014-15'!J33</f>
        <v>303.389</v>
      </c>
      <c r="C33" s="42">
        <f>+'[23]Appendix2 1516 Feeder'!C18</f>
        <v>0</v>
      </c>
      <c r="D33" s="42">
        <f>+'[23]Appendix2 1516 Feeder'!D18</f>
        <v>0</v>
      </c>
      <c r="E33" s="42">
        <f>+'[23]Appendix2 1516 Feeder'!E18</f>
        <v>0</v>
      </c>
      <c r="F33" s="42">
        <f>+'[23]Appendix2 1516 Feeder'!F18</f>
        <v>0</v>
      </c>
      <c r="G33" s="42">
        <f>+'[23]Appendix2 1516 Feeder'!G18</f>
        <v>0</v>
      </c>
      <c r="H33" s="42">
        <f>+'[23]Appendix2 1516 Feeder'!H18</f>
        <v>0</v>
      </c>
      <c r="I33" s="42">
        <v>0</v>
      </c>
      <c r="J33" s="40">
        <f t="shared" si="10"/>
        <v>303.389</v>
      </c>
      <c r="K33" s="80">
        <f t="shared" si="9"/>
        <v>0</v>
      </c>
    </row>
    <row r="34" spans="1:11" ht="12.75">
      <c r="A34" s="10" t="s">
        <v>13</v>
      </c>
      <c r="B34" s="41">
        <f>'2014-15'!J34</f>
        <v>65.68299999999999</v>
      </c>
      <c r="C34" s="42">
        <f>+'[23]Appendix2 1516 Feeder'!C19</f>
        <v>0</v>
      </c>
      <c r="D34" s="42">
        <f>+'[23]Appendix2 1516 Feeder'!D19</f>
        <v>0</v>
      </c>
      <c r="E34" s="42">
        <f>+'[23]Appendix2 1516 Feeder'!E19</f>
        <v>0</v>
      </c>
      <c r="F34" s="42">
        <f>+'[23]Appendix2 1516 Feeder'!F19</f>
        <v>0</v>
      </c>
      <c r="G34" s="42">
        <f>+'[23]Appendix2 1516 Feeder'!G19</f>
        <v>0</v>
      </c>
      <c r="H34" s="42">
        <f>+'[23]Appendix2 1516 Feeder'!H19</f>
        <v>0</v>
      </c>
      <c r="I34" s="42">
        <v>0</v>
      </c>
      <c r="J34" s="40">
        <f t="shared" si="10"/>
        <v>65.68299999999999</v>
      </c>
      <c r="K34" s="80">
        <f t="shared" si="9"/>
        <v>0</v>
      </c>
    </row>
    <row r="35" spans="1:11" ht="12.75">
      <c r="A35" s="10" t="s">
        <v>147</v>
      </c>
      <c r="B35" s="41">
        <f>'2014-15'!J35</f>
        <v>253.79500000000002</v>
      </c>
      <c r="C35" s="42">
        <f>+'[23]Appendix2 1516 Feeder'!C20</f>
        <v>0</v>
      </c>
      <c r="D35" s="42">
        <f>+'[23]Appendix2 1516 Feeder'!D20</f>
        <v>0</v>
      </c>
      <c r="E35" s="42">
        <f>+'[23]Appendix2 1516 Feeder'!E20</f>
        <v>0</v>
      </c>
      <c r="F35" s="42">
        <f>+'[23]Appendix2 1516 Feeder'!F20</f>
        <v>0</v>
      </c>
      <c r="G35" s="42">
        <f>+'[23]Appendix2 1516 Feeder'!G20</f>
        <v>0</v>
      </c>
      <c r="H35" s="42">
        <f>+'[23]Appendix2 1516 Feeder'!H20</f>
        <v>0</v>
      </c>
      <c r="I35" s="42">
        <v>0</v>
      </c>
      <c r="J35" s="40">
        <f t="shared" si="10"/>
        <v>253.79500000000002</v>
      </c>
      <c r="K35" s="80">
        <f t="shared" si="9"/>
        <v>0</v>
      </c>
    </row>
    <row r="36" spans="1:11" ht="12.75">
      <c r="A36" s="10"/>
      <c r="B36" s="41"/>
      <c r="C36" s="42"/>
      <c r="D36" s="42"/>
      <c r="E36" s="42"/>
      <c r="F36" s="42"/>
      <c r="G36" s="42"/>
      <c r="H36" s="42"/>
      <c r="I36" s="42"/>
      <c r="J36" s="40"/>
      <c r="K36" s="80"/>
    </row>
    <row r="37" spans="1:11" ht="12.75">
      <c r="A37" s="26" t="s">
        <v>152</v>
      </c>
      <c r="B37" s="36">
        <f aca="true" t="shared" si="11" ref="B37:J37">+SUM(B38:B40)</f>
        <v>3231.9380280924997</v>
      </c>
      <c r="C37" s="38">
        <f t="shared" si="11"/>
        <v>0</v>
      </c>
      <c r="D37" s="38">
        <f t="shared" si="11"/>
        <v>0</v>
      </c>
      <c r="E37" s="38">
        <f t="shared" si="11"/>
        <v>-200</v>
      </c>
      <c r="F37" s="38">
        <f t="shared" si="11"/>
        <v>0</v>
      </c>
      <c r="G37" s="38">
        <f t="shared" si="11"/>
        <v>0</v>
      </c>
      <c r="H37" s="38">
        <f t="shared" si="11"/>
        <v>0</v>
      </c>
      <c r="I37" s="38">
        <f t="shared" si="11"/>
        <v>0</v>
      </c>
      <c r="J37" s="38">
        <f t="shared" si="11"/>
        <v>3031.9380280924997</v>
      </c>
      <c r="K37" s="79">
        <f>+(J37-B37)/B37</f>
        <v>-0.061882374680940475</v>
      </c>
    </row>
    <row r="38" spans="1:11" ht="12.75">
      <c r="A38" s="11" t="s">
        <v>57</v>
      </c>
      <c r="B38" s="41">
        <f>'2014-15'!J38</f>
        <v>123.131</v>
      </c>
      <c r="C38" s="42">
        <f>'[20]Appendix2 1516 Feeder'!C15</f>
        <v>0</v>
      </c>
      <c r="D38" s="42">
        <f>'[20]Appendix2 1516 Feeder'!D15</f>
        <v>0</v>
      </c>
      <c r="E38" s="42">
        <f>'[20]Appendix2 1516 Feeder'!E15</f>
        <v>0</v>
      </c>
      <c r="F38" s="42">
        <f>'[20]Appendix2 1516 Feeder'!F15</f>
        <v>0</v>
      </c>
      <c r="G38" s="42">
        <f>'[20]Appendix2 1516 Feeder'!G15</f>
        <v>0</v>
      </c>
      <c r="H38" s="42">
        <f>'[20]Appendix2 1516 Feeder'!H15</f>
        <v>0</v>
      </c>
      <c r="I38" s="42">
        <v>0</v>
      </c>
      <c r="J38" s="40">
        <f>+B38+SUM(C38:I38)</f>
        <v>123.131</v>
      </c>
      <c r="K38" s="80">
        <f>+(J38-B38)/B38</f>
        <v>0</v>
      </c>
    </row>
    <row r="39" spans="1:11" ht="12.75">
      <c r="A39" s="11" t="s">
        <v>58</v>
      </c>
      <c r="B39" s="41">
        <f>'2014-15'!J39</f>
        <v>3011.3290280925</v>
      </c>
      <c r="C39" s="42">
        <f>'[20]Appendix2 1516 Feeder'!C16</f>
        <v>0</v>
      </c>
      <c r="D39" s="42">
        <f>'[20]Appendix2 1516 Feeder'!D16</f>
        <v>0</v>
      </c>
      <c r="E39" s="42">
        <f>'[20]Appendix2 1516 Feeder'!E16</f>
        <v>-200</v>
      </c>
      <c r="F39" s="42">
        <f>'[20]Appendix2 1516 Feeder'!F16</f>
        <v>0</v>
      </c>
      <c r="G39" s="42">
        <f>'[20]Appendix2 1516 Feeder'!G16</f>
        <v>0</v>
      </c>
      <c r="H39" s="42">
        <f>'[20]Appendix2 1516 Feeder'!H16</f>
        <v>0</v>
      </c>
      <c r="I39" s="42">
        <v>0</v>
      </c>
      <c r="J39" s="40">
        <f>+B39+SUM(C39:I39)</f>
        <v>2811.3290280925</v>
      </c>
      <c r="K39" s="79">
        <f>+(J39-B39)/B39</f>
        <v>-0.06641585762771604</v>
      </c>
    </row>
    <row r="40" spans="1:11" ht="12.75">
      <c r="A40" s="11" t="s">
        <v>84</v>
      </c>
      <c r="B40" s="41">
        <f>'2014-15'!J40</f>
        <v>97.478</v>
      </c>
      <c r="C40" s="42">
        <f>'[20]Appendix2 1516 Feeder'!C17</f>
        <v>0</v>
      </c>
      <c r="D40" s="42">
        <f>'[20]Appendix2 1516 Feeder'!D17</f>
        <v>0</v>
      </c>
      <c r="E40" s="42">
        <f>'[20]Appendix2 1516 Feeder'!E17</f>
        <v>0</v>
      </c>
      <c r="F40" s="42">
        <f>'[20]Appendix2 1516 Feeder'!F17</f>
        <v>0</v>
      </c>
      <c r="G40" s="42">
        <f>'[20]Appendix2 1516 Feeder'!G17</f>
        <v>0</v>
      </c>
      <c r="H40" s="42">
        <f>'[20]Appendix2 1516 Feeder'!H17</f>
        <v>0</v>
      </c>
      <c r="I40" s="42">
        <v>0</v>
      </c>
      <c r="J40" s="40">
        <f>+B40+SUM(C40:I40)</f>
        <v>97.478</v>
      </c>
      <c r="K40" s="79">
        <f>+(J40-B40)/B40</f>
        <v>0</v>
      </c>
    </row>
    <row r="41" spans="1:11" ht="12.75">
      <c r="A41" s="11"/>
      <c r="B41" s="41"/>
      <c r="C41" s="42"/>
      <c r="D41" s="42"/>
      <c r="E41" s="42"/>
      <c r="F41" s="42"/>
      <c r="G41" s="42"/>
      <c r="H41" s="42"/>
      <c r="I41" s="42"/>
      <c r="J41" s="40"/>
      <c r="K41" s="79"/>
    </row>
    <row r="42" spans="1:11" ht="12.75">
      <c r="A42" s="26" t="s">
        <v>148</v>
      </c>
      <c r="B42" s="36">
        <f aca="true" t="shared" si="12" ref="B42:J42">SUM(B43:B47)</f>
        <v>2022.81</v>
      </c>
      <c r="C42" s="37">
        <f t="shared" si="12"/>
        <v>0</v>
      </c>
      <c r="D42" s="37">
        <f t="shared" si="12"/>
        <v>0</v>
      </c>
      <c r="E42" s="37">
        <f t="shared" si="12"/>
        <v>-20</v>
      </c>
      <c r="F42" s="37">
        <f t="shared" si="12"/>
        <v>0</v>
      </c>
      <c r="G42" s="37">
        <f t="shared" si="12"/>
        <v>0</v>
      </c>
      <c r="H42" s="37">
        <f t="shared" si="12"/>
        <v>-28.9</v>
      </c>
      <c r="I42" s="37">
        <f t="shared" si="12"/>
        <v>0</v>
      </c>
      <c r="J42" s="37">
        <f t="shared" si="12"/>
        <v>1973.91</v>
      </c>
      <c r="K42" s="79">
        <f aca="true" t="shared" si="13" ref="K42:K47">+(J42-B42)/B42</f>
        <v>-0.024174292197487585</v>
      </c>
    </row>
    <row r="43" spans="1:11" ht="12.75">
      <c r="A43" s="83" t="s">
        <v>149</v>
      </c>
      <c r="B43" s="41">
        <f>'2014-15'!J43</f>
        <v>130.583</v>
      </c>
      <c r="C43" s="42">
        <f>'[19]Appendix2 1516 Feeder'!C15</f>
        <v>0</v>
      </c>
      <c r="D43" s="42">
        <f>'[19]Appendix2 1516 Feeder'!D15</f>
        <v>0</v>
      </c>
      <c r="E43" s="42">
        <f>'[19]Appendix2 1516 Feeder'!E15</f>
        <v>-20</v>
      </c>
      <c r="F43" s="42">
        <f>'[19]Appendix2 1516 Feeder'!F15</f>
        <v>0</v>
      </c>
      <c r="G43" s="42">
        <f>'[19]Appendix2 1516 Feeder'!G15</f>
        <v>0</v>
      </c>
      <c r="H43" s="42">
        <f>'[19]Appendix2 1516 Feeder'!H15</f>
        <v>-28.9</v>
      </c>
      <c r="I43" s="42">
        <v>0</v>
      </c>
      <c r="J43" s="40">
        <f>+B43+SUM(C43:I43)</f>
        <v>81.68299999999999</v>
      </c>
      <c r="K43" s="80">
        <f t="shared" si="13"/>
        <v>-0.3744744721747854</v>
      </c>
    </row>
    <row r="44" spans="1:11" ht="12.75">
      <c r="A44" s="83" t="s">
        <v>150</v>
      </c>
      <c r="B44" s="41">
        <f>'2014-15'!J44</f>
        <v>-67.002</v>
      </c>
      <c r="C44" s="42">
        <f>'[19]Appendix2 1516 Feeder'!C16</f>
        <v>0</v>
      </c>
      <c r="D44" s="42">
        <f>'[19]Appendix2 1516 Feeder'!D16</f>
        <v>0</v>
      </c>
      <c r="E44" s="42">
        <f>'[19]Appendix2 1516 Feeder'!E16</f>
        <v>0</v>
      </c>
      <c r="F44" s="42">
        <f>'[19]Appendix2 1516 Feeder'!F16</f>
        <v>0</v>
      </c>
      <c r="G44" s="42">
        <f>'[19]Appendix2 1516 Feeder'!G16</f>
        <v>0</v>
      </c>
      <c r="H44" s="42">
        <f>'[19]Appendix2 1516 Feeder'!H16</f>
        <v>0</v>
      </c>
      <c r="I44" s="42">
        <v>0</v>
      </c>
      <c r="J44" s="40">
        <f>+B44+SUM(C44:I44)</f>
        <v>-67.002</v>
      </c>
      <c r="K44" s="80">
        <f t="shared" si="13"/>
        <v>0</v>
      </c>
    </row>
    <row r="45" spans="1:11" ht="12.75">
      <c r="A45" s="83" t="s">
        <v>151</v>
      </c>
      <c r="B45" s="41">
        <f>'2014-15'!J45</f>
        <v>1645.609</v>
      </c>
      <c r="C45" s="42">
        <f>'[19]Appendix2 1516 Feeder'!C17</f>
        <v>0</v>
      </c>
      <c r="D45" s="42">
        <f>'[19]Appendix2 1516 Feeder'!D17</f>
        <v>0</v>
      </c>
      <c r="E45" s="42">
        <f>'[19]Appendix2 1516 Feeder'!E17</f>
        <v>0</v>
      </c>
      <c r="F45" s="42">
        <f>'[19]Appendix2 1516 Feeder'!F17</f>
        <v>0</v>
      </c>
      <c r="G45" s="42">
        <f>'[19]Appendix2 1516 Feeder'!G17</f>
        <v>0</v>
      </c>
      <c r="H45" s="42">
        <f>'[19]Appendix2 1516 Feeder'!H17</f>
        <v>0</v>
      </c>
      <c r="I45" s="42">
        <v>0</v>
      </c>
      <c r="J45" s="40">
        <f>+B45+SUM(C45:I45)</f>
        <v>1645.609</v>
      </c>
      <c r="K45" s="80">
        <f t="shared" si="13"/>
        <v>0</v>
      </c>
    </row>
    <row r="46" spans="1:11" ht="12.75">
      <c r="A46" s="83" t="s">
        <v>107</v>
      </c>
      <c r="B46" s="41">
        <f>'2014-15'!J46</f>
        <v>91.179</v>
      </c>
      <c r="C46" s="42">
        <f>'[19]Appendix2 1516 Feeder'!C18</f>
        <v>0</v>
      </c>
      <c r="D46" s="42">
        <f>'[19]Appendix2 1516 Feeder'!D18</f>
        <v>0</v>
      </c>
      <c r="E46" s="42">
        <f>'[19]Appendix2 1516 Feeder'!E18</f>
        <v>0</v>
      </c>
      <c r="F46" s="42">
        <f>'[19]Appendix2 1516 Feeder'!F18</f>
        <v>0</v>
      </c>
      <c r="G46" s="42">
        <f>'[19]Appendix2 1516 Feeder'!G18</f>
        <v>0</v>
      </c>
      <c r="H46" s="42">
        <f>'[19]Appendix2 1516 Feeder'!H18</f>
        <v>0</v>
      </c>
      <c r="I46" s="42">
        <v>0</v>
      </c>
      <c r="J46" s="40">
        <f>+B46+SUM(C46:I46)</f>
        <v>91.179</v>
      </c>
      <c r="K46" s="80">
        <f t="shared" si="13"/>
        <v>0</v>
      </c>
    </row>
    <row r="47" spans="1:11" ht="12.75">
      <c r="A47" s="83" t="s">
        <v>148</v>
      </c>
      <c r="B47" s="41">
        <f>'2014-15'!J47</f>
        <v>222.441</v>
      </c>
      <c r="C47" s="42">
        <f>'[19]Appendix2 1516 Feeder'!C19</f>
        <v>0</v>
      </c>
      <c r="D47" s="42">
        <f>'[19]Appendix2 1516 Feeder'!D19</f>
        <v>0</v>
      </c>
      <c r="E47" s="42">
        <f>'[19]Appendix2 1516 Feeder'!E19</f>
        <v>0</v>
      </c>
      <c r="F47" s="42">
        <f>'[19]Appendix2 1516 Feeder'!F19</f>
        <v>0</v>
      </c>
      <c r="G47" s="42">
        <f>'[19]Appendix2 1516 Feeder'!G19</f>
        <v>0</v>
      </c>
      <c r="H47" s="42">
        <f>'[19]Appendix2 1516 Feeder'!H19</f>
        <v>0</v>
      </c>
      <c r="I47" s="42">
        <v>0</v>
      </c>
      <c r="J47" s="40">
        <f>+B47+SUM(C47:I47)</f>
        <v>222.441</v>
      </c>
      <c r="K47" s="80">
        <f t="shared" si="13"/>
        <v>0</v>
      </c>
    </row>
    <row r="48" spans="1:11" ht="12.75">
      <c r="A48" s="83"/>
      <c r="B48" s="39"/>
      <c r="C48" s="40"/>
      <c r="D48" s="40"/>
      <c r="E48" s="40"/>
      <c r="F48" s="40"/>
      <c r="G48" s="40"/>
      <c r="H48" s="40"/>
      <c r="I48" s="40"/>
      <c r="J48" s="40"/>
      <c r="K48" s="16"/>
    </row>
    <row r="49" spans="1:11" ht="12.75">
      <c r="A49" s="31" t="s">
        <v>29</v>
      </c>
      <c r="B49" s="36">
        <f aca="true" t="shared" si="14" ref="B49:J49">+B51+B58+B70+B76</f>
        <v>5012.9133999999995</v>
      </c>
      <c r="C49" s="37">
        <f t="shared" si="14"/>
        <v>73.545</v>
      </c>
      <c r="D49" s="37">
        <f t="shared" si="14"/>
        <v>-25</v>
      </c>
      <c r="E49" s="37">
        <f t="shared" si="14"/>
        <v>-130.52800000000002</v>
      </c>
      <c r="F49" s="37">
        <f t="shared" si="14"/>
        <v>0</v>
      </c>
      <c r="G49" s="37">
        <f t="shared" si="14"/>
        <v>-361.536</v>
      </c>
      <c r="H49" s="37">
        <f t="shared" si="14"/>
        <v>0</v>
      </c>
      <c r="I49" s="37">
        <f t="shared" si="14"/>
        <v>-30</v>
      </c>
      <c r="J49" s="37">
        <f t="shared" si="14"/>
        <v>4539.394399999999</v>
      </c>
      <c r="K49" s="79">
        <f>+(J49-B49)/B49</f>
        <v>-0.09445984045924279</v>
      </c>
    </row>
    <row r="50" spans="1:11" ht="12.75">
      <c r="A50" s="27"/>
      <c r="B50" s="47"/>
      <c r="C50" s="48"/>
      <c r="D50" s="48"/>
      <c r="E50" s="48"/>
      <c r="F50" s="48"/>
      <c r="G50" s="48"/>
      <c r="H50" s="48"/>
      <c r="I50" s="48"/>
      <c r="J50" s="48"/>
      <c r="K50" s="16"/>
    </row>
    <row r="51" spans="1:11" ht="12.75">
      <c r="A51" s="26" t="s">
        <v>30</v>
      </c>
      <c r="B51" s="36">
        <f aca="true" t="shared" si="15" ref="B51:J51">+SUM(B52:B56)</f>
        <v>1292.9049999999997</v>
      </c>
      <c r="C51" s="38">
        <f t="shared" si="15"/>
        <v>0</v>
      </c>
      <c r="D51" s="38">
        <f t="shared" si="15"/>
        <v>0</v>
      </c>
      <c r="E51" s="38">
        <f t="shared" si="15"/>
        <v>0</v>
      </c>
      <c r="F51" s="38">
        <f t="shared" si="15"/>
        <v>0</v>
      </c>
      <c r="G51" s="38">
        <f t="shared" si="15"/>
        <v>0</v>
      </c>
      <c r="H51" s="38">
        <f t="shared" si="15"/>
        <v>0</v>
      </c>
      <c r="I51" s="38">
        <f t="shared" si="15"/>
        <v>3</v>
      </c>
      <c r="J51" s="38">
        <f t="shared" si="15"/>
        <v>1295.9049999999997</v>
      </c>
      <c r="K51" s="79">
        <f aca="true" t="shared" si="16" ref="K51:K56">+(J51-B51)/B51</f>
        <v>0.0023203560973157353</v>
      </c>
    </row>
    <row r="52" spans="1:11" ht="12.75">
      <c r="A52" s="10" t="s">
        <v>31</v>
      </c>
      <c r="B52" s="41">
        <f>'2014-15'!J52</f>
        <v>528.76</v>
      </c>
      <c r="C52" s="42">
        <f>'[18]Appendix2 1516 Feeder'!C15</f>
        <v>0</v>
      </c>
      <c r="D52" s="42">
        <f>'[18]Appendix2 1516 Feeder'!D15</f>
        <v>0</v>
      </c>
      <c r="E52" s="42">
        <f>'[18]Appendix2 1516 Feeder'!E15</f>
        <v>0</v>
      </c>
      <c r="F52" s="42">
        <f>'[18]Appendix2 1516 Feeder'!F15</f>
        <v>0</v>
      </c>
      <c r="G52" s="42">
        <f>'[18]Appendix2 1516 Feeder'!G15</f>
        <v>0</v>
      </c>
      <c r="H52" s="42">
        <f>'[18]Appendix2 1516 Feeder'!H15</f>
        <v>0</v>
      </c>
      <c r="I52" s="42">
        <v>3</v>
      </c>
      <c r="J52" s="40">
        <f>+B52+SUM(C52:I52)</f>
        <v>531.76</v>
      </c>
      <c r="K52" s="80">
        <f t="shared" si="16"/>
        <v>0.005673651562145397</v>
      </c>
    </row>
    <row r="53" spans="1:11" ht="12.75">
      <c r="A53" s="10" t="s">
        <v>32</v>
      </c>
      <c r="B53" s="41">
        <f>'2014-15'!J53</f>
        <v>496.77199999999993</v>
      </c>
      <c r="C53" s="42">
        <f>'[18]Appendix2 1516 Feeder'!C16</f>
        <v>0</v>
      </c>
      <c r="D53" s="42">
        <f>'[18]Appendix2 1516 Feeder'!D16</f>
        <v>0</v>
      </c>
      <c r="E53" s="42">
        <f>'[18]Appendix2 1516 Feeder'!E16</f>
        <v>0</v>
      </c>
      <c r="F53" s="42">
        <f>'[18]Appendix2 1516 Feeder'!F16</f>
        <v>0</v>
      </c>
      <c r="G53" s="42">
        <f>'[18]Appendix2 1516 Feeder'!G16</f>
        <v>0</v>
      </c>
      <c r="H53" s="42">
        <f>'[18]Appendix2 1516 Feeder'!H16</f>
        <v>0</v>
      </c>
      <c r="I53" s="42">
        <v>0</v>
      </c>
      <c r="J53" s="40">
        <f>+B53+SUM(C53:I53)</f>
        <v>496.77199999999993</v>
      </c>
      <c r="K53" s="80">
        <f t="shared" si="16"/>
        <v>0</v>
      </c>
    </row>
    <row r="54" spans="1:11" ht="12.75">
      <c r="A54" s="10" t="s">
        <v>33</v>
      </c>
      <c r="B54" s="41">
        <f>'2014-15'!J54</f>
        <v>700.1379999999999</v>
      </c>
      <c r="C54" s="42">
        <f>'[18]Appendix2 1516 Feeder'!C17</f>
        <v>0</v>
      </c>
      <c r="D54" s="42">
        <f>'[18]Appendix2 1516 Feeder'!D17</f>
        <v>0</v>
      </c>
      <c r="E54" s="42">
        <f>'[18]Appendix2 1516 Feeder'!E17</f>
        <v>0</v>
      </c>
      <c r="F54" s="42">
        <f>'[18]Appendix2 1516 Feeder'!F17</f>
        <v>0</v>
      </c>
      <c r="G54" s="42">
        <f>'[18]Appendix2 1516 Feeder'!G17</f>
        <v>0</v>
      </c>
      <c r="H54" s="42">
        <f>'[18]Appendix2 1516 Feeder'!H17</f>
        <v>0</v>
      </c>
      <c r="I54" s="42">
        <v>0</v>
      </c>
      <c r="J54" s="40">
        <f>+B54+SUM(C54:I54)</f>
        <v>700.1379999999999</v>
      </c>
      <c r="K54" s="80">
        <f t="shared" si="16"/>
        <v>0</v>
      </c>
    </row>
    <row r="55" spans="1:11" ht="12.75">
      <c r="A55" s="27" t="s">
        <v>113</v>
      </c>
      <c r="B55" s="41">
        <f>'2014-15'!J55</f>
        <v>-552.979</v>
      </c>
      <c r="C55" s="42">
        <f>'[18]Appendix2 1516 Feeder'!C18</f>
        <v>0</v>
      </c>
      <c r="D55" s="42">
        <f>'[18]Appendix2 1516 Feeder'!D18</f>
        <v>0</v>
      </c>
      <c r="E55" s="42">
        <f>'[18]Appendix2 1516 Feeder'!E18</f>
        <v>0</v>
      </c>
      <c r="F55" s="42">
        <f>'[18]Appendix2 1516 Feeder'!F18</f>
        <v>0</v>
      </c>
      <c r="G55" s="42">
        <f>'[18]Appendix2 1516 Feeder'!G18</f>
        <v>0</v>
      </c>
      <c r="H55" s="42">
        <f>'[18]Appendix2 1516 Feeder'!H18</f>
        <v>0</v>
      </c>
      <c r="I55" s="42">
        <v>0</v>
      </c>
      <c r="J55" s="40">
        <f>+B55+SUM(C55:I55)</f>
        <v>-552.979</v>
      </c>
      <c r="K55" s="80">
        <f t="shared" si="16"/>
        <v>0</v>
      </c>
    </row>
    <row r="56" spans="1:11" ht="12.75">
      <c r="A56" s="10" t="s">
        <v>34</v>
      </c>
      <c r="B56" s="41">
        <f>'2014-15'!J56</f>
        <v>120.214</v>
      </c>
      <c r="C56" s="42">
        <f>'[18]Appendix2 1516 Feeder'!C19</f>
        <v>0</v>
      </c>
      <c r="D56" s="42">
        <f>'[18]Appendix2 1516 Feeder'!D19</f>
        <v>0</v>
      </c>
      <c r="E56" s="42">
        <f>'[18]Appendix2 1516 Feeder'!E19</f>
        <v>0</v>
      </c>
      <c r="F56" s="42">
        <f>'[18]Appendix2 1516 Feeder'!F19</f>
        <v>0</v>
      </c>
      <c r="G56" s="42">
        <f>'[18]Appendix2 1516 Feeder'!G19</f>
        <v>0</v>
      </c>
      <c r="H56" s="42">
        <f>'[18]Appendix2 1516 Feeder'!H19</f>
        <v>0</v>
      </c>
      <c r="I56" s="42">
        <v>0</v>
      </c>
      <c r="J56" s="40">
        <f>+B56+SUM(C56:I56)</f>
        <v>120.214</v>
      </c>
      <c r="K56" s="80">
        <f t="shared" si="16"/>
        <v>0</v>
      </c>
    </row>
    <row r="57" spans="1:11" ht="12.75">
      <c r="A57" s="27"/>
      <c r="B57" s="47"/>
      <c r="C57" s="48"/>
      <c r="D57" s="48"/>
      <c r="E57" s="48"/>
      <c r="F57" s="48"/>
      <c r="G57" s="48"/>
      <c r="H57" s="48"/>
      <c r="I57" s="48"/>
      <c r="J57" s="48"/>
      <c r="K57" s="16"/>
    </row>
    <row r="58" spans="1:11" ht="12.75">
      <c r="A58" s="26" t="s">
        <v>138</v>
      </c>
      <c r="B58" s="36">
        <f aca="true" t="shared" si="17" ref="B58:J58">+SUM(B59:B68)</f>
        <v>-2092.616</v>
      </c>
      <c r="C58" s="37">
        <f t="shared" si="17"/>
        <v>65.545</v>
      </c>
      <c r="D58" s="37">
        <f t="shared" si="17"/>
        <v>0</v>
      </c>
      <c r="E58" s="37">
        <f t="shared" si="17"/>
        <v>-25</v>
      </c>
      <c r="F58" s="37">
        <f t="shared" si="17"/>
        <v>0</v>
      </c>
      <c r="G58" s="37">
        <f t="shared" si="17"/>
        <v>-332.536</v>
      </c>
      <c r="H58" s="37">
        <f t="shared" si="17"/>
        <v>0</v>
      </c>
      <c r="I58" s="37">
        <f t="shared" si="17"/>
        <v>0</v>
      </c>
      <c r="J58" s="37">
        <f t="shared" si="17"/>
        <v>-2384.6070000000004</v>
      </c>
      <c r="K58" s="79">
        <f aca="true" t="shared" si="18" ref="K58:K68">+(J58-B58)/B58</f>
        <v>0.13953396131922935</v>
      </c>
    </row>
    <row r="59" spans="1:11" ht="12.75">
      <c r="A59" s="84" t="s">
        <v>160</v>
      </c>
      <c r="B59" s="41">
        <f>'2014-15'!J59</f>
        <v>-1898.118</v>
      </c>
      <c r="C59" s="42">
        <f>+'[25]Appendix2 1516 Feeder'!C15</f>
        <v>37.142</v>
      </c>
      <c r="D59" s="42">
        <f>+'[25]Appendix2 1516 Feeder'!D15</f>
        <v>0</v>
      </c>
      <c r="E59" s="42">
        <f>+'[25]Appendix2 1516 Feeder'!E15</f>
        <v>0</v>
      </c>
      <c r="F59" s="42">
        <f>+'[25]Appendix2 1516 Feeder'!F15</f>
        <v>0</v>
      </c>
      <c r="G59" s="42">
        <f>+'[25]Appendix2 1516 Feeder'!G15</f>
        <v>-80.5</v>
      </c>
      <c r="H59" s="42">
        <f>+'[25]Appendix2 1516 Feeder'!H15</f>
        <v>0</v>
      </c>
      <c r="I59" s="42">
        <v>0</v>
      </c>
      <c r="J59" s="40">
        <f>+B59+SUM(C59:I59)</f>
        <v>-1941.4759999999999</v>
      </c>
      <c r="K59" s="80">
        <f t="shared" si="18"/>
        <v>0.022842626222395</v>
      </c>
    </row>
    <row r="60" spans="1:11" ht="12.75">
      <c r="A60" s="84" t="s">
        <v>153</v>
      </c>
      <c r="B60" s="41">
        <f>'2014-15'!J60</f>
        <v>-4698.469</v>
      </c>
      <c r="C60" s="42">
        <f>+'[25]Appendix2 1516 Feeder'!C16</f>
        <v>0</v>
      </c>
      <c r="D60" s="42">
        <f>+'[25]Appendix2 1516 Feeder'!D16</f>
        <v>0</v>
      </c>
      <c r="E60" s="42">
        <f>+'[25]Appendix2 1516 Feeder'!E16</f>
        <v>0</v>
      </c>
      <c r="F60" s="42">
        <f>+'[25]Appendix2 1516 Feeder'!F16</f>
        <v>0</v>
      </c>
      <c r="G60" s="42">
        <f>+'[25]Appendix2 1516 Feeder'!G16</f>
        <v>-65.65</v>
      </c>
      <c r="H60" s="42">
        <f>+'[25]Appendix2 1516 Feeder'!H16</f>
        <v>0</v>
      </c>
      <c r="I60" s="42">
        <v>0</v>
      </c>
      <c r="J60" s="40">
        <f aca="true" t="shared" si="19" ref="J60:J68">+B60+SUM(C60:I60)</f>
        <v>-4764.119</v>
      </c>
      <c r="K60" s="80">
        <f t="shared" si="18"/>
        <v>0.013972636618438823</v>
      </c>
    </row>
    <row r="61" spans="1:11" ht="12.75">
      <c r="A61" s="84" t="s">
        <v>154</v>
      </c>
      <c r="B61" s="41">
        <f>'2014-15'!J61</f>
        <v>2841.334</v>
      </c>
      <c r="C61" s="42">
        <f>+'[25]Appendix2 1516 Feeder'!C17</f>
        <v>0</v>
      </c>
      <c r="D61" s="42">
        <f>+'[25]Appendix2 1516 Feeder'!D17</f>
        <v>0</v>
      </c>
      <c r="E61" s="42">
        <f>+'[25]Appendix2 1516 Feeder'!E17</f>
        <v>0</v>
      </c>
      <c r="F61" s="42">
        <f>+'[25]Appendix2 1516 Feeder'!F17</f>
        <v>0</v>
      </c>
      <c r="G61" s="42">
        <f>+'[25]Appendix2 1516 Feeder'!G17</f>
        <v>-16.386</v>
      </c>
      <c r="H61" s="42">
        <f>+'[25]Appendix2 1516 Feeder'!H17</f>
        <v>0</v>
      </c>
      <c r="I61" s="42">
        <v>0</v>
      </c>
      <c r="J61" s="40">
        <f t="shared" si="19"/>
        <v>2824.948</v>
      </c>
      <c r="K61" s="80">
        <f t="shared" si="18"/>
        <v>-0.005767009439932077</v>
      </c>
    </row>
    <row r="62" spans="1:11" ht="12.75">
      <c r="A62" s="84" t="s">
        <v>155</v>
      </c>
      <c r="B62" s="41">
        <f>'2014-15'!J62</f>
        <v>-1362.603</v>
      </c>
      <c r="C62" s="42">
        <f>+'[25]Appendix2 1516 Feeder'!C18</f>
        <v>0</v>
      </c>
      <c r="D62" s="42">
        <f>+'[25]Appendix2 1516 Feeder'!D18</f>
        <v>0</v>
      </c>
      <c r="E62" s="42">
        <f>+'[25]Appendix2 1516 Feeder'!E18</f>
        <v>0</v>
      </c>
      <c r="F62" s="42">
        <f>+'[25]Appendix2 1516 Feeder'!F18</f>
        <v>0</v>
      </c>
      <c r="G62" s="42">
        <f>+'[25]Appendix2 1516 Feeder'!G18</f>
        <v>0</v>
      </c>
      <c r="H62" s="42">
        <f>+'[25]Appendix2 1516 Feeder'!H18</f>
        <v>0</v>
      </c>
      <c r="I62" s="42">
        <v>0</v>
      </c>
      <c r="J62" s="40">
        <f t="shared" si="19"/>
        <v>-1362.603</v>
      </c>
      <c r="K62" s="80">
        <f t="shared" si="18"/>
        <v>0</v>
      </c>
    </row>
    <row r="63" spans="1:11" ht="12.75">
      <c r="A63" s="84" t="s">
        <v>96</v>
      </c>
      <c r="B63" s="41">
        <f>'2014-15'!J63</f>
        <v>-378.653</v>
      </c>
      <c r="C63" s="42">
        <f>+'[25]Appendix2 1516 Feeder'!C19</f>
        <v>0</v>
      </c>
      <c r="D63" s="42">
        <f>+'[25]Appendix2 1516 Feeder'!D19</f>
        <v>0</v>
      </c>
      <c r="E63" s="42">
        <f>+'[25]Appendix2 1516 Feeder'!E19</f>
        <v>0</v>
      </c>
      <c r="F63" s="42">
        <f>+'[25]Appendix2 1516 Feeder'!F19</f>
        <v>0</v>
      </c>
      <c r="G63" s="42">
        <f>+'[25]Appendix2 1516 Feeder'!G19</f>
        <v>-20</v>
      </c>
      <c r="H63" s="42">
        <f>+'[25]Appendix2 1516 Feeder'!H19</f>
        <v>0</v>
      </c>
      <c r="I63" s="42">
        <v>0</v>
      </c>
      <c r="J63" s="40">
        <f t="shared" si="19"/>
        <v>-398.653</v>
      </c>
      <c r="K63" s="80">
        <f t="shared" si="18"/>
        <v>0.05281880772105331</v>
      </c>
    </row>
    <row r="64" spans="1:11" ht="12.75">
      <c r="A64" s="84" t="s">
        <v>156</v>
      </c>
      <c r="B64" s="41">
        <f>'2014-15'!J64</f>
        <v>3835.578</v>
      </c>
      <c r="C64" s="42">
        <f>+'[25]Appendix2 1516 Feeder'!C20</f>
        <v>0</v>
      </c>
      <c r="D64" s="42">
        <f>+'[25]Appendix2 1516 Feeder'!D20</f>
        <v>0</v>
      </c>
      <c r="E64" s="42">
        <f>+'[25]Appendix2 1516 Feeder'!E20</f>
        <v>-25</v>
      </c>
      <c r="F64" s="42">
        <f>+'[25]Appendix2 1516 Feeder'!F20</f>
        <v>0</v>
      </c>
      <c r="G64" s="42">
        <f>+'[25]Appendix2 1516 Feeder'!G20</f>
        <v>0</v>
      </c>
      <c r="H64" s="42">
        <f>+'[25]Appendix2 1516 Feeder'!H20</f>
        <v>0</v>
      </c>
      <c r="I64" s="42">
        <v>0</v>
      </c>
      <c r="J64" s="40">
        <f t="shared" si="19"/>
        <v>3810.578</v>
      </c>
      <c r="K64" s="80">
        <f t="shared" si="18"/>
        <v>-0.006517922461751527</v>
      </c>
    </row>
    <row r="65" spans="1:11" ht="12.75">
      <c r="A65" s="84" t="s">
        <v>94</v>
      </c>
      <c r="B65" s="41">
        <f>'2014-15'!J65</f>
        <v>-2053.307</v>
      </c>
      <c r="C65" s="42">
        <f>+'[25]Appendix2 1516 Feeder'!C21</f>
        <v>28.403</v>
      </c>
      <c r="D65" s="42">
        <f>+'[25]Appendix2 1516 Feeder'!D21</f>
        <v>0</v>
      </c>
      <c r="E65" s="42">
        <f>+'[25]Appendix2 1516 Feeder'!E21</f>
        <v>0</v>
      </c>
      <c r="F65" s="42">
        <f>+'[25]Appendix2 1516 Feeder'!F21</f>
        <v>0</v>
      </c>
      <c r="G65" s="42">
        <f>+'[25]Appendix2 1516 Feeder'!G21</f>
        <v>0</v>
      </c>
      <c r="H65" s="42">
        <f>+'[25]Appendix2 1516 Feeder'!H21</f>
        <v>0</v>
      </c>
      <c r="I65" s="42">
        <v>0</v>
      </c>
      <c r="J65" s="40">
        <f t="shared" si="19"/>
        <v>-2024.9039999999998</v>
      </c>
      <c r="K65" s="80">
        <f t="shared" si="18"/>
        <v>-0.013832807271391965</v>
      </c>
    </row>
    <row r="66" spans="1:11" ht="12.75" customHeight="1">
      <c r="A66" s="84" t="s">
        <v>157</v>
      </c>
      <c r="B66" s="41">
        <f>'2014-15'!J66</f>
        <v>-74.416</v>
      </c>
      <c r="C66" s="42">
        <f>+'[25]Appendix2 1516 Feeder'!C22</f>
        <v>0</v>
      </c>
      <c r="D66" s="42">
        <f>+'[25]Appendix2 1516 Feeder'!D22</f>
        <v>0</v>
      </c>
      <c r="E66" s="42">
        <f>+'[25]Appendix2 1516 Feeder'!E22</f>
        <v>0</v>
      </c>
      <c r="F66" s="42">
        <f>+'[25]Appendix2 1516 Feeder'!F22</f>
        <v>0</v>
      </c>
      <c r="G66" s="42">
        <f>+'[25]Appendix2 1516 Feeder'!G22</f>
        <v>0</v>
      </c>
      <c r="H66" s="42">
        <f>+'[25]Appendix2 1516 Feeder'!H22</f>
        <v>0</v>
      </c>
      <c r="I66" s="42">
        <v>0</v>
      </c>
      <c r="J66" s="40">
        <f t="shared" si="19"/>
        <v>-74.416</v>
      </c>
      <c r="K66" s="80">
        <f t="shared" si="18"/>
        <v>0</v>
      </c>
    </row>
    <row r="67" spans="1:11" ht="12.75" customHeight="1">
      <c r="A67" s="84" t="s">
        <v>158</v>
      </c>
      <c r="B67" s="41">
        <f>'2014-15'!J67</f>
        <v>-147.477</v>
      </c>
      <c r="C67" s="42">
        <f>+'[25]Appendix2 1516 Feeder'!C23</f>
        <v>0</v>
      </c>
      <c r="D67" s="42">
        <f>+'[25]Appendix2 1516 Feeder'!D23</f>
        <v>0</v>
      </c>
      <c r="E67" s="42">
        <f>+'[25]Appendix2 1516 Feeder'!E23</f>
        <v>0</v>
      </c>
      <c r="F67" s="42">
        <f>+'[25]Appendix2 1516 Feeder'!F23</f>
        <v>0</v>
      </c>
      <c r="G67" s="42">
        <f>+'[25]Appendix2 1516 Feeder'!G23</f>
        <v>0</v>
      </c>
      <c r="H67" s="42">
        <f>+'[25]Appendix2 1516 Feeder'!H23</f>
        <v>0</v>
      </c>
      <c r="I67" s="42">
        <v>0</v>
      </c>
      <c r="J67" s="40">
        <f t="shared" si="19"/>
        <v>-147.477</v>
      </c>
      <c r="K67" s="80">
        <f t="shared" si="18"/>
        <v>0</v>
      </c>
    </row>
    <row r="68" spans="1:11" ht="12.75" customHeight="1">
      <c r="A68" s="84" t="s">
        <v>159</v>
      </c>
      <c r="B68" s="41">
        <f>'2014-15'!J68</f>
        <v>1843.5149999999999</v>
      </c>
      <c r="C68" s="42">
        <f>+'[25]Appendix2 1516 Feeder'!C24</f>
        <v>0</v>
      </c>
      <c r="D68" s="42">
        <f>+'[25]Appendix2 1516 Feeder'!D24</f>
        <v>0</v>
      </c>
      <c r="E68" s="42">
        <f>+'[25]Appendix2 1516 Feeder'!E24</f>
        <v>0</v>
      </c>
      <c r="F68" s="42">
        <f>+'[25]Appendix2 1516 Feeder'!F24</f>
        <v>0</v>
      </c>
      <c r="G68" s="42">
        <f>+'[25]Appendix2 1516 Feeder'!G24</f>
        <v>-150</v>
      </c>
      <c r="H68" s="42">
        <f>+'[25]Appendix2 1516 Feeder'!H24</f>
        <v>0</v>
      </c>
      <c r="I68" s="42">
        <v>0</v>
      </c>
      <c r="J68" s="40">
        <f t="shared" si="19"/>
        <v>1693.5149999999999</v>
      </c>
      <c r="K68" s="80">
        <f t="shared" si="18"/>
        <v>-0.08136630295929244</v>
      </c>
    </row>
    <row r="69" spans="1:11" ht="12.75">
      <c r="A69" s="27"/>
      <c r="B69" s="41"/>
      <c r="C69" s="42"/>
      <c r="D69" s="42"/>
      <c r="E69" s="42"/>
      <c r="F69" s="42"/>
      <c r="G69" s="42"/>
      <c r="H69" s="42"/>
      <c r="I69" s="42"/>
      <c r="J69" s="42"/>
      <c r="K69" s="76"/>
    </row>
    <row r="70" spans="1:11" ht="12.75">
      <c r="A70" s="26" t="s">
        <v>21</v>
      </c>
      <c r="B70" s="36">
        <f aca="true" t="shared" si="20" ref="B70:J70">+SUM(B71:B74)</f>
        <v>2708.01</v>
      </c>
      <c r="C70" s="38">
        <f t="shared" si="20"/>
        <v>0</v>
      </c>
      <c r="D70" s="38">
        <f t="shared" si="20"/>
        <v>-25</v>
      </c>
      <c r="E70" s="38">
        <f t="shared" si="20"/>
        <v>-65.528</v>
      </c>
      <c r="F70" s="38">
        <f t="shared" si="20"/>
        <v>0</v>
      </c>
      <c r="G70" s="38">
        <f t="shared" si="20"/>
        <v>0</v>
      </c>
      <c r="H70" s="38">
        <f t="shared" si="20"/>
        <v>0</v>
      </c>
      <c r="I70" s="38">
        <f t="shared" si="20"/>
        <v>0</v>
      </c>
      <c r="J70" s="38">
        <f t="shared" si="20"/>
        <v>2617.482</v>
      </c>
      <c r="K70" s="79">
        <f>+(J70-B70)/B70</f>
        <v>-0.033429714070479885</v>
      </c>
    </row>
    <row r="71" spans="1:11" ht="12.75">
      <c r="A71" s="11" t="s">
        <v>21</v>
      </c>
      <c r="B71" s="41">
        <f>'2014-15'!J71</f>
        <v>1959.893</v>
      </c>
      <c r="C71" s="42">
        <f>'[21]Appendix2 1516 Feeder'!C15</f>
        <v>0</v>
      </c>
      <c r="D71" s="42">
        <f>'[21]Appendix2 1516 Feeder'!D15</f>
        <v>0</v>
      </c>
      <c r="E71" s="42">
        <f>'[21]Appendix2 1516 Feeder'!E15</f>
        <v>-65.528</v>
      </c>
      <c r="F71" s="42">
        <f>'[21]Appendix2 1516 Feeder'!F15</f>
        <v>0</v>
      </c>
      <c r="G71" s="42">
        <f>'[21]Appendix2 1516 Feeder'!G15</f>
        <v>0</v>
      </c>
      <c r="H71" s="42">
        <f>'[21]Appendix2 1516 Feeder'!H15</f>
        <v>0</v>
      </c>
      <c r="I71" s="42">
        <v>0</v>
      </c>
      <c r="J71" s="40">
        <f>+B71+SUM(C71:I71)</f>
        <v>1894.365</v>
      </c>
      <c r="K71" s="80">
        <f>+(J71-B71)/B71</f>
        <v>-0.03343447831080575</v>
      </c>
    </row>
    <row r="72" spans="1:11" ht="12.75">
      <c r="A72" s="11" t="s">
        <v>69</v>
      </c>
      <c r="B72" s="41">
        <f>'2014-15'!J72</f>
        <v>201.722</v>
      </c>
      <c r="C72" s="42">
        <f>'[21]Appendix2 1516 Feeder'!C16</f>
        <v>0</v>
      </c>
      <c r="D72" s="42">
        <f>'[21]Appendix2 1516 Feeder'!D16</f>
        <v>0</v>
      </c>
      <c r="E72" s="42">
        <f>'[21]Appendix2 1516 Feeder'!E16</f>
        <v>0</v>
      </c>
      <c r="F72" s="42">
        <f>'[21]Appendix2 1516 Feeder'!F16</f>
        <v>0</v>
      </c>
      <c r="G72" s="42">
        <f>'[21]Appendix2 1516 Feeder'!G16</f>
        <v>0</v>
      </c>
      <c r="H72" s="42">
        <f>'[21]Appendix2 1516 Feeder'!H16</f>
        <v>0</v>
      </c>
      <c r="I72" s="42">
        <v>0</v>
      </c>
      <c r="J72" s="40">
        <f>+B72+SUM(C72:I72)</f>
        <v>201.722</v>
      </c>
      <c r="K72" s="80">
        <f>+(J72-B72)/B72</f>
        <v>0</v>
      </c>
    </row>
    <row r="73" spans="1:11" ht="12.75">
      <c r="A73" s="11" t="s">
        <v>70</v>
      </c>
      <c r="B73" s="41">
        <f>'2014-15'!J73</f>
        <v>539.219</v>
      </c>
      <c r="C73" s="42">
        <f>'[21]Appendix2 1516 Feeder'!C17</f>
        <v>0</v>
      </c>
      <c r="D73" s="42">
        <f>'[21]Appendix2 1516 Feeder'!D17</f>
        <v>-25</v>
      </c>
      <c r="E73" s="42">
        <f>'[21]Appendix2 1516 Feeder'!E17</f>
        <v>0</v>
      </c>
      <c r="F73" s="42">
        <f>'[21]Appendix2 1516 Feeder'!F17</f>
        <v>0</v>
      </c>
      <c r="G73" s="42">
        <f>'[21]Appendix2 1516 Feeder'!G17</f>
        <v>0</v>
      </c>
      <c r="H73" s="42">
        <f>'[21]Appendix2 1516 Feeder'!H17</f>
        <v>0</v>
      </c>
      <c r="I73" s="42">
        <v>0</v>
      </c>
      <c r="J73" s="40">
        <f>+B73+SUM(C73:I73)</f>
        <v>514.219</v>
      </c>
      <c r="K73" s="80">
        <f>+(J73-B73)/B73</f>
        <v>-0.04636335143976751</v>
      </c>
    </row>
    <row r="74" spans="1:11" ht="12.75">
      <c r="A74" s="11" t="s">
        <v>71</v>
      </c>
      <c r="B74" s="41">
        <f>'2014-15'!J74</f>
        <v>7.176</v>
      </c>
      <c r="C74" s="42">
        <f>'[21]Appendix2 1516 Feeder'!C18</f>
        <v>0</v>
      </c>
      <c r="D74" s="42">
        <f>'[21]Appendix2 1516 Feeder'!D18</f>
        <v>0</v>
      </c>
      <c r="E74" s="42">
        <f>'[21]Appendix2 1516 Feeder'!E18</f>
        <v>0</v>
      </c>
      <c r="F74" s="42">
        <f>'[21]Appendix2 1516 Feeder'!F18</f>
        <v>0</v>
      </c>
      <c r="G74" s="42">
        <f>'[21]Appendix2 1516 Feeder'!G18</f>
        <v>0</v>
      </c>
      <c r="H74" s="42">
        <f>'[21]Appendix2 1516 Feeder'!H18</f>
        <v>0</v>
      </c>
      <c r="I74" s="42">
        <v>0</v>
      </c>
      <c r="J74" s="40">
        <f>+B74+SUM(C74:I74)</f>
        <v>7.176</v>
      </c>
      <c r="K74" s="80">
        <f>+(J74-B74)/B74</f>
        <v>0</v>
      </c>
    </row>
    <row r="75" spans="1:11" ht="12.75">
      <c r="A75" s="27"/>
      <c r="B75" s="47"/>
      <c r="C75" s="48"/>
      <c r="D75" s="48"/>
      <c r="E75" s="48"/>
      <c r="F75" s="48"/>
      <c r="G75" s="48"/>
      <c r="H75" s="42"/>
      <c r="I75" s="42"/>
      <c r="J75" s="48"/>
      <c r="K75" s="16"/>
    </row>
    <row r="76" spans="1:11" ht="12.75">
      <c r="A76" s="28" t="s">
        <v>38</v>
      </c>
      <c r="B76" s="36">
        <f aca="true" t="shared" si="21" ref="B76:J76">+SUM(B77:B84)</f>
        <v>3104.6143999999995</v>
      </c>
      <c r="C76" s="38">
        <f t="shared" si="21"/>
        <v>8</v>
      </c>
      <c r="D76" s="38">
        <f t="shared" si="21"/>
        <v>0</v>
      </c>
      <c r="E76" s="38">
        <f t="shared" si="21"/>
        <v>-40</v>
      </c>
      <c r="F76" s="38">
        <f t="shared" si="21"/>
        <v>0</v>
      </c>
      <c r="G76" s="38">
        <f t="shared" si="21"/>
        <v>-29</v>
      </c>
      <c r="H76" s="38">
        <f t="shared" si="21"/>
        <v>0</v>
      </c>
      <c r="I76" s="38">
        <f t="shared" si="21"/>
        <v>-33</v>
      </c>
      <c r="J76" s="38">
        <f t="shared" si="21"/>
        <v>3010.6143999999995</v>
      </c>
      <c r="K76" s="79">
        <f aca="true" t="shared" si="22" ref="K76:K84">+(J76-B76)/B76</f>
        <v>-0.030277512080083124</v>
      </c>
    </row>
    <row r="77" spans="1:11" ht="12.75">
      <c r="A77" s="21" t="s">
        <v>74</v>
      </c>
      <c r="B77" s="41">
        <f>'2014-15'!J77</f>
        <v>1071.5303999999996</v>
      </c>
      <c r="C77" s="42">
        <f>'[26]Appendix2 Feeder 1516'!C17</f>
        <v>8</v>
      </c>
      <c r="D77" s="42">
        <f>'[26]Appendix2 Feeder 1516'!D17</f>
        <v>0</v>
      </c>
      <c r="E77" s="42">
        <f>'[26]Appendix2 Feeder 1516'!E17</f>
        <v>0</v>
      </c>
      <c r="F77" s="42">
        <f>'[26]Appendix2 Feeder 1516'!F17</f>
        <v>0</v>
      </c>
      <c r="G77" s="42">
        <f>'[26]Appendix2 Feeder 1516'!G17</f>
        <v>0</v>
      </c>
      <c r="H77" s="42">
        <f>'[26]Appendix2 Feeder 1516'!H17</f>
        <v>0</v>
      </c>
      <c r="I77" s="42">
        <v>-33</v>
      </c>
      <c r="J77" s="40">
        <f>+B77+SUM(C77:I77)</f>
        <v>1046.5303999999996</v>
      </c>
      <c r="K77" s="80">
        <f t="shared" si="22"/>
        <v>-0.023331115944074016</v>
      </c>
    </row>
    <row r="78" spans="1:11" ht="12.75">
      <c r="A78" s="21" t="s">
        <v>137</v>
      </c>
      <c r="B78" s="41">
        <f>'2014-15'!J78</f>
        <v>6.856</v>
      </c>
      <c r="C78" s="42">
        <f>'[26]Appendix2 Feeder 1516'!C18</f>
        <v>0</v>
      </c>
      <c r="D78" s="42">
        <f>'[26]Appendix2 Feeder 1516'!D18</f>
        <v>0</v>
      </c>
      <c r="E78" s="42">
        <f>'[26]Appendix2 Feeder 1516'!E18</f>
        <v>0</v>
      </c>
      <c r="F78" s="42">
        <f>'[26]Appendix2 Feeder 1516'!F18</f>
        <v>0</v>
      </c>
      <c r="G78" s="42">
        <f>'[26]Appendix2 Feeder 1516'!G18</f>
        <v>0</v>
      </c>
      <c r="H78" s="42">
        <f>'[26]Appendix2 Feeder 1516'!H18</f>
        <v>0</v>
      </c>
      <c r="I78" s="42">
        <v>0</v>
      </c>
      <c r="J78" s="40">
        <f aca="true" t="shared" si="23" ref="J78:J84">+B78+SUM(C78:I78)</f>
        <v>6.856</v>
      </c>
      <c r="K78" s="80">
        <f t="shared" si="22"/>
        <v>0</v>
      </c>
    </row>
    <row r="79" spans="1:11" ht="12.75">
      <c r="A79" s="21" t="s">
        <v>75</v>
      </c>
      <c r="B79" s="41">
        <f>'2014-15'!J79</f>
        <v>92.243</v>
      </c>
      <c r="C79" s="42">
        <f>'[26]Appendix2 Feeder 1516'!C19</f>
        <v>0</v>
      </c>
      <c r="D79" s="42">
        <f>'[26]Appendix2 Feeder 1516'!D19</f>
        <v>0</v>
      </c>
      <c r="E79" s="42">
        <f>'[26]Appendix2 Feeder 1516'!E19</f>
        <v>0</v>
      </c>
      <c r="F79" s="42">
        <f>'[26]Appendix2 Feeder 1516'!F19</f>
        <v>0</v>
      </c>
      <c r="G79" s="42">
        <f>'[26]Appendix2 Feeder 1516'!G19</f>
        <v>0</v>
      </c>
      <c r="H79" s="42">
        <f>'[26]Appendix2 Feeder 1516'!H19</f>
        <v>0</v>
      </c>
      <c r="I79" s="42">
        <v>0</v>
      </c>
      <c r="J79" s="40">
        <f t="shared" si="23"/>
        <v>92.243</v>
      </c>
      <c r="K79" s="80">
        <f t="shared" si="22"/>
        <v>0</v>
      </c>
    </row>
    <row r="80" spans="1:11" ht="12.75">
      <c r="A80" s="21" t="s">
        <v>76</v>
      </c>
      <c r="B80" s="41">
        <f>'2014-15'!J80</f>
        <v>-10.853</v>
      </c>
      <c r="C80" s="42">
        <f>'[26]Appendix2 Feeder 1516'!C20</f>
        <v>0</v>
      </c>
      <c r="D80" s="42">
        <f>'[26]Appendix2 Feeder 1516'!D20</f>
        <v>0</v>
      </c>
      <c r="E80" s="42">
        <f>'[26]Appendix2 Feeder 1516'!E20</f>
        <v>0</v>
      </c>
      <c r="F80" s="42">
        <f>'[26]Appendix2 Feeder 1516'!F20</f>
        <v>0</v>
      </c>
      <c r="G80" s="42">
        <f>'[26]Appendix2 Feeder 1516'!G20</f>
        <v>0</v>
      </c>
      <c r="H80" s="42">
        <f>'[26]Appendix2 Feeder 1516'!H20</f>
        <v>0</v>
      </c>
      <c r="I80" s="42">
        <v>0</v>
      </c>
      <c r="J80" s="40">
        <f t="shared" si="23"/>
        <v>-10.853</v>
      </c>
      <c r="K80" s="80">
        <f t="shared" si="22"/>
        <v>0</v>
      </c>
    </row>
    <row r="81" spans="1:11" ht="12.75">
      <c r="A81" s="21" t="s">
        <v>77</v>
      </c>
      <c r="B81" s="41">
        <f>'2014-15'!J81</f>
        <v>18.65</v>
      </c>
      <c r="C81" s="42">
        <f>'[26]Appendix2 Feeder 1516'!C21</f>
        <v>0</v>
      </c>
      <c r="D81" s="42">
        <f>'[26]Appendix2 Feeder 1516'!D21</f>
        <v>0</v>
      </c>
      <c r="E81" s="42">
        <f>'[26]Appendix2 Feeder 1516'!E21</f>
        <v>0</v>
      </c>
      <c r="F81" s="42">
        <f>'[26]Appendix2 Feeder 1516'!F21</f>
        <v>0</v>
      </c>
      <c r="G81" s="42">
        <f>'[26]Appendix2 Feeder 1516'!G21</f>
        <v>0</v>
      </c>
      <c r="H81" s="42">
        <f>'[26]Appendix2 Feeder 1516'!H21</f>
        <v>0</v>
      </c>
      <c r="I81" s="42">
        <v>0</v>
      </c>
      <c r="J81" s="40">
        <f t="shared" si="23"/>
        <v>18.65</v>
      </c>
      <c r="K81" s="80">
        <f t="shared" si="22"/>
        <v>0</v>
      </c>
    </row>
    <row r="82" spans="1:11" ht="12.75">
      <c r="A82" s="21" t="s">
        <v>78</v>
      </c>
      <c r="B82" s="41">
        <f>'2014-15'!J82</f>
        <v>132.888</v>
      </c>
      <c r="C82" s="42">
        <f>'[26]Appendix2 Feeder 1516'!C22</f>
        <v>0</v>
      </c>
      <c r="D82" s="42">
        <f>'[26]Appendix2 Feeder 1516'!D22</f>
        <v>0</v>
      </c>
      <c r="E82" s="42">
        <f>'[26]Appendix2 Feeder 1516'!E22</f>
        <v>0</v>
      </c>
      <c r="F82" s="42">
        <f>'[26]Appendix2 Feeder 1516'!F22</f>
        <v>0</v>
      </c>
      <c r="G82" s="42">
        <f>'[26]Appendix2 Feeder 1516'!G22</f>
        <v>0</v>
      </c>
      <c r="H82" s="42">
        <f>'[26]Appendix2 Feeder 1516'!H22</f>
        <v>0</v>
      </c>
      <c r="I82" s="42">
        <v>0</v>
      </c>
      <c r="J82" s="40">
        <f t="shared" si="23"/>
        <v>132.888</v>
      </c>
      <c r="K82" s="80">
        <f t="shared" si="22"/>
        <v>0</v>
      </c>
    </row>
    <row r="83" spans="1:11" ht="12.75">
      <c r="A83" s="21" t="s">
        <v>79</v>
      </c>
      <c r="B83" s="41">
        <f>'2014-15'!J83</f>
        <v>1740.493</v>
      </c>
      <c r="C83" s="42">
        <f>'[26]Appendix2 Feeder 1516'!C23</f>
        <v>0</v>
      </c>
      <c r="D83" s="42">
        <f>'[26]Appendix2 Feeder 1516'!D23</f>
        <v>0</v>
      </c>
      <c r="E83" s="42">
        <f>'[26]Appendix2 Feeder 1516'!E23</f>
        <v>-40</v>
      </c>
      <c r="F83" s="42">
        <f>'[26]Appendix2 Feeder 1516'!F23</f>
        <v>0</v>
      </c>
      <c r="G83" s="42">
        <f>'[26]Appendix2 Feeder 1516'!G23</f>
        <v>-29</v>
      </c>
      <c r="H83" s="42">
        <f>'[26]Appendix2 Feeder 1516'!H23</f>
        <v>0</v>
      </c>
      <c r="I83" s="42">
        <v>0</v>
      </c>
      <c r="J83" s="40">
        <f t="shared" si="23"/>
        <v>1671.493</v>
      </c>
      <c r="K83" s="80">
        <f t="shared" si="22"/>
        <v>-0.0396439399641366</v>
      </c>
    </row>
    <row r="84" spans="1:11" ht="12.75">
      <c r="A84" s="21" t="s">
        <v>80</v>
      </c>
      <c r="B84" s="41">
        <f>'2014-15'!J84</f>
        <v>52.807</v>
      </c>
      <c r="C84" s="42">
        <f>'[26]Appendix2 Feeder 1516'!C24</f>
        <v>0</v>
      </c>
      <c r="D84" s="42">
        <f>'[26]Appendix2 Feeder 1516'!D24</f>
        <v>0</v>
      </c>
      <c r="E84" s="42">
        <f>'[26]Appendix2 Feeder 1516'!E24</f>
        <v>0</v>
      </c>
      <c r="F84" s="42">
        <f>'[26]Appendix2 Feeder 1516'!F24</f>
        <v>0</v>
      </c>
      <c r="G84" s="42">
        <f>'[26]Appendix2 Feeder 1516'!G24</f>
        <v>0</v>
      </c>
      <c r="H84" s="42">
        <f>'[26]Appendix2 Feeder 1516'!H24</f>
        <v>0</v>
      </c>
      <c r="I84" s="42">
        <v>0</v>
      </c>
      <c r="J84" s="40">
        <f t="shared" si="23"/>
        <v>52.807</v>
      </c>
      <c r="K84" s="80">
        <f t="shared" si="22"/>
        <v>0</v>
      </c>
    </row>
    <row r="85" spans="1:11" ht="12.75">
      <c r="A85" s="28"/>
      <c r="B85" s="47"/>
      <c r="C85" s="48"/>
      <c r="D85" s="48"/>
      <c r="E85" s="48"/>
      <c r="F85" s="48"/>
      <c r="G85" s="42"/>
      <c r="H85" s="42"/>
      <c r="I85" s="42"/>
      <c r="J85" s="48"/>
      <c r="K85" s="16"/>
    </row>
    <row r="86" spans="1:11" ht="12.75">
      <c r="A86" s="27"/>
      <c r="B86" s="47"/>
      <c r="C86" s="100"/>
      <c r="D86" s="100"/>
      <c r="E86" s="100"/>
      <c r="F86" s="100"/>
      <c r="G86" s="100"/>
      <c r="H86" s="100"/>
      <c r="I86" s="100"/>
      <c r="J86" s="100"/>
      <c r="K86" s="16"/>
    </row>
    <row r="87" spans="1:11" ht="12.75">
      <c r="A87" s="57" t="s">
        <v>39</v>
      </c>
      <c r="B87" s="36">
        <f aca="true" t="shared" si="24" ref="B87:J87">B89+B95+B103</f>
        <v>4588.826</v>
      </c>
      <c r="C87" s="37">
        <f t="shared" si="24"/>
        <v>0</v>
      </c>
      <c r="D87" s="37">
        <f t="shared" si="24"/>
        <v>0</v>
      </c>
      <c r="E87" s="37">
        <f t="shared" si="24"/>
        <v>-5.359</v>
      </c>
      <c r="F87" s="37">
        <f t="shared" si="24"/>
        <v>0</v>
      </c>
      <c r="G87" s="37">
        <f t="shared" si="24"/>
        <v>-62.963</v>
      </c>
      <c r="H87" s="37">
        <f t="shared" si="24"/>
        <v>-45</v>
      </c>
      <c r="I87" s="37">
        <f t="shared" si="24"/>
        <v>0</v>
      </c>
      <c r="J87" s="37">
        <f t="shared" si="24"/>
        <v>4475.504</v>
      </c>
      <c r="K87" s="79">
        <f>+(J87-B87)/B87</f>
        <v>-0.02469520526600924</v>
      </c>
    </row>
    <row r="88" spans="1:11" ht="12.75">
      <c r="A88" s="31"/>
      <c r="B88" s="47"/>
      <c r="C88" s="100"/>
      <c r="D88" s="100"/>
      <c r="E88" s="100"/>
      <c r="F88" s="100"/>
      <c r="G88" s="100"/>
      <c r="H88" s="100"/>
      <c r="I88" s="100"/>
      <c r="J88" s="100"/>
      <c r="K88" s="16"/>
    </row>
    <row r="89" spans="1:11" ht="12.75" customHeight="1">
      <c r="A89" s="26" t="s">
        <v>116</v>
      </c>
      <c r="B89" s="36">
        <f aca="true" t="shared" si="25" ref="B89:J89">+SUM(B90:B93)</f>
        <v>926.951</v>
      </c>
      <c r="C89" s="37">
        <f t="shared" si="25"/>
        <v>0</v>
      </c>
      <c r="D89" s="37">
        <f t="shared" si="25"/>
        <v>0</v>
      </c>
      <c r="E89" s="37">
        <f t="shared" si="25"/>
        <v>0</v>
      </c>
      <c r="F89" s="37">
        <f t="shared" si="25"/>
        <v>0</v>
      </c>
      <c r="G89" s="37">
        <f t="shared" si="25"/>
        <v>-39.5</v>
      </c>
      <c r="H89" s="37">
        <f t="shared" si="25"/>
        <v>-17</v>
      </c>
      <c r="I89" s="37">
        <f t="shared" si="25"/>
        <v>0</v>
      </c>
      <c r="J89" s="37">
        <f t="shared" si="25"/>
        <v>870.451</v>
      </c>
      <c r="K89" s="79">
        <f>+(J89-B89)/B89</f>
        <v>-0.06095252068340182</v>
      </c>
    </row>
    <row r="90" spans="1:11" ht="12.75">
      <c r="A90" s="83" t="s">
        <v>139</v>
      </c>
      <c r="B90" s="41">
        <f>'2014-15'!J90</f>
        <v>-112.14099999999999</v>
      </c>
      <c r="C90" s="125">
        <f>+'[24]Appendix2 1516 Feeder'!C15</f>
        <v>0</v>
      </c>
      <c r="D90" s="125">
        <f>+'[24]Appendix2 1516 Feeder'!D15</f>
        <v>0</v>
      </c>
      <c r="E90" s="125">
        <f>+'[24]Appendix2 1516 Feeder'!E15</f>
        <v>0</v>
      </c>
      <c r="F90" s="125">
        <f>+'[24]Appendix2 1516 Feeder'!F15</f>
        <v>0</v>
      </c>
      <c r="G90" s="125">
        <f>+'[24]Appendix2 1516 Feeder'!G15</f>
        <v>-21</v>
      </c>
      <c r="H90" s="125">
        <f>+'[24]Appendix2 1516 Feeder'!H15</f>
        <v>0</v>
      </c>
      <c r="I90" s="125">
        <v>0</v>
      </c>
      <c r="J90" s="40">
        <f>+B90+SUM(C90:I90)</f>
        <v>-133.141</v>
      </c>
      <c r="K90" s="80">
        <f>+(J90-B90)/B90</f>
        <v>0.1872642476881783</v>
      </c>
    </row>
    <row r="91" spans="1:11" ht="12.75">
      <c r="A91" s="83" t="s">
        <v>140</v>
      </c>
      <c r="B91" s="41">
        <f>'2014-15'!J91</f>
        <v>367.807</v>
      </c>
      <c r="C91" s="125">
        <f>+'[24]Appendix2 1516 Feeder'!C16</f>
        <v>0</v>
      </c>
      <c r="D91" s="125">
        <f>+'[24]Appendix2 1516 Feeder'!D16</f>
        <v>0</v>
      </c>
      <c r="E91" s="125">
        <f>+'[24]Appendix2 1516 Feeder'!E16</f>
        <v>0</v>
      </c>
      <c r="F91" s="125">
        <f>+'[24]Appendix2 1516 Feeder'!F16</f>
        <v>0</v>
      </c>
      <c r="G91" s="125">
        <f>+'[24]Appendix2 1516 Feeder'!G16</f>
        <v>-12</v>
      </c>
      <c r="H91" s="125">
        <f>+'[24]Appendix2 1516 Feeder'!H16</f>
        <v>0</v>
      </c>
      <c r="I91" s="125">
        <v>0</v>
      </c>
      <c r="J91" s="40">
        <f>+B91+SUM(C91:I91)</f>
        <v>355.807</v>
      </c>
      <c r="K91" s="80">
        <f>+(J91-B91)/B91</f>
        <v>-0.03262580646915366</v>
      </c>
    </row>
    <row r="92" spans="1:11" ht="12.75">
      <c r="A92" s="83" t="s">
        <v>68</v>
      </c>
      <c r="B92" s="41">
        <f>'2014-15'!J92</f>
        <v>482.93899999999996</v>
      </c>
      <c r="C92" s="125">
        <f>+'[24]Appendix2 1516 Feeder'!C17</f>
        <v>0</v>
      </c>
      <c r="D92" s="125">
        <f>+'[24]Appendix2 1516 Feeder'!D17</f>
        <v>0</v>
      </c>
      <c r="E92" s="125">
        <f>+'[24]Appendix2 1516 Feeder'!E17</f>
        <v>0</v>
      </c>
      <c r="F92" s="125">
        <f>+'[24]Appendix2 1516 Feeder'!F17</f>
        <v>0</v>
      </c>
      <c r="G92" s="125">
        <f>+'[24]Appendix2 1516 Feeder'!G17</f>
        <v>-6.5</v>
      </c>
      <c r="H92" s="125">
        <f>+'[24]Appendix2 1516 Feeder'!H17</f>
        <v>0</v>
      </c>
      <c r="I92" s="125">
        <v>0</v>
      </c>
      <c r="J92" s="40">
        <f>+B92+SUM(C92:I92)</f>
        <v>476.43899999999996</v>
      </c>
      <c r="K92" s="80">
        <f>+(J92-B92)/B92</f>
        <v>-0.013459256759135212</v>
      </c>
    </row>
    <row r="93" spans="1:11" ht="12.75">
      <c r="A93" s="83" t="s">
        <v>141</v>
      </c>
      <c r="B93" s="41">
        <f>'2014-15'!J93</f>
        <v>188.346</v>
      </c>
      <c r="C93" s="125">
        <f>+'[24]Appendix2 1516 Feeder'!C18</f>
        <v>0</v>
      </c>
      <c r="D93" s="125">
        <f>+'[24]Appendix2 1516 Feeder'!D18</f>
        <v>0</v>
      </c>
      <c r="E93" s="125">
        <f>+'[24]Appendix2 1516 Feeder'!E18</f>
        <v>0</v>
      </c>
      <c r="F93" s="125">
        <f>+'[24]Appendix2 1516 Feeder'!F18</f>
        <v>0</v>
      </c>
      <c r="G93" s="125">
        <f>+'[24]Appendix2 1516 Feeder'!G18</f>
        <v>0</v>
      </c>
      <c r="H93" s="125">
        <f>+'[24]Appendix2 1516 Feeder'!H18</f>
        <v>-17</v>
      </c>
      <c r="I93" s="125">
        <v>0</v>
      </c>
      <c r="J93" s="40">
        <f>+B93+SUM(C93:I93)</f>
        <v>171.346</v>
      </c>
      <c r="K93" s="80">
        <f>+(J93-B93)/B93</f>
        <v>-0.09025941618085863</v>
      </c>
    </row>
    <row r="94" spans="1:11" ht="12.75">
      <c r="A94" s="83"/>
      <c r="B94" s="41"/>
      <c r="C94" s="40"/>
      <c r="D94" s="40"/>
      <c r="E94" s="40"/>
      <c r="F94" s="40"/>
      <c r="G94" s="40"/>
      <c r="H94" s="40"/>
      <c r="I94" s="40"/>
      <c r="J94" s="40"/>
      <c r="K94" s="80"/>
    </row>
    <row r="95" spans="1:11" ht="12.75">
      <c r="A95" s="26" t="s">
        <v>14</v>
      </c>
      <c r="B95" s="36">
        <f aca="true" t="shared" si="26" ref="B95:J95">+SUM(B96:B100)</f>
        <v>1220.963</v>
      </c>
      <c r="C95" s="38">
        <f t="shared" si="26"/>
        <v>0</v>
      </c>
      <c r="D95" s="38">
        <f t="shared" si="26"/>
        <v>0</v>
      </c>
      <c r="E95" s="38">
        <f t="shared" si="26"/>
        <v>0</v>
      </c>
      <c r="F95" s="38">
        <f t="shared" si="26"/>
        <v>0</v>
      </c>
      <c r="G95" s="38">
        <f t="shared" si="26"/>
        <v>-18.463</v>
      </c>
      <c r="H95" s="38">
        <f t="shared" si="26"/>
        <v>0</v>
      </c>
      <c r="I95" s="38">
        <f t="shared" si="26"/>
        <v>0</v>
      </c>
      <c r="J95" s="38">
        <f t="shared" si="26"/>
        <v>1202.5</v>
      </c>
      <c r="K95" s="79">
        <f aca="true" t="shared" si="27" ref="K95:K100">+(J95-B95)/B95</f>
        <v>-0.015121670353647053</v>
      </c>
    </row>
    <row r="96" spans="1:11" ht="12.75">
      <c r="A96" s="10" t="s">
        <v>15</v>
      </c>
      <c r="B96" s="41">
        <f>'2014-15'!J96</f>
        <v>650.108</v>
      </c>
      <c r="C96" s="42">
        <f>'[22]Appendix2 1516 Feeder'!C15</f>
        <v>0</v>
      </c>
      <c r="D96" s="42">
        <f>'[22]Appendix2 1516 Feeder'!D15</f>
        <v>0</v>
      </c>
      <c r="E96" s="42">
        <f>'[22]Appendix2 1516 Feeder'!E15</f>
        <v>0</v>
      </c>
      <c r="F96" s="42">
        <f>'[22]Appendix2 1516 Feeder'!F15</f>
        <v>0</v>
      </c>
      <c r="G96" s="42">
        <f>'[22]Appendix2 1516 Feeder'!G15</f>
        <v>0</v>
      </c>
      <c r="H96" s="42">
        <f>'[22]Appendix2 1516 Feeder'!H15</f>
        <v>0</v>
      </c>
      <c r="I96" s="42">
        <v>0</v>
      </c>
      <c r="J96" s="40">
        <f aca="true" t="shared" si="28" ref="J96:J101">+B96+SUM(C96:I96)</f>
        <v>650.108</v>
      </c>
      <c r="K96" s="80">
        <f t="shared" si="27"/>
        <v>0</v>
      </c>
    </row>
    <row r="97" spans="1:11" ht="12.75">
      <c r="A97" s="10" t="s">
        <v>16</v>
      </c>
      <c r="B97" s="41">
        <f>'2014-15'!J97</f>
        <v>40.014</v>
      </c>
      <c r="C97" s="42">
        <f>'[22]Appendix2 1516 Feeder'!C16</f>
        <v>0</v>
      </c>
      <c r="D97" s="42">
        <f>'[22]Appendix2 1516 Feeder'!D16</f>
        <v>0</v>
      </c>
      <c r="E97" s="42">
        <f>'[22]Appendix2 1516 Feeder'!E16</f>
        <v>0</v>
      </c>
      <c r="F97" s="42">
        <f>'[22]Appendix2 1516 Feeder'!F16</f>
        <v>0</v>
      </c>
      <c r="G97" s="42">
        <f>'[22]Appendix2 1516 Feeder'!G16</f>
        <v>0</v>
      </c>
      <c r="H97" s="42">
        <f>'[22]Appendix2 1516 Feeder'!H16</f>
        <v>0</v>
      </c>
      <c r="I97" s="42">
        <v>0</v>
      </c>
      <c r="J97" s="40">
        <f t="shared" si="28"/>
        <v>40.014</v>
      </c>
      <c r="K97" s="80">
        <f t="shared" si="27"/>
        <v>0</v>
      </c>
    </row>
    <row r="98" spans="1:11" ht="12.75" hidden="1">
      <c r="A98" s="10" t="s">
        <v>17</v>
      </c>
      <c r="B98" s="41">
        <f>'2014-15'!J98</f>
        <v>0</v>
      </c>
      <c r="C98" s="42">
        <f>'[22]Appendix2 1516 Feeder'!C17</f>
        <v>0</v>
      </c>
      <c r="D98" s="42">
        <f>'[22]Appendix2 1516 Feeder'!D17</f>
        <v>0</v>
      </c>
      <c r="E98" s="42">
        <f>'[22]Appendix2 1516 Feeder'!E17</f>
        <v>0</v>
      </c>
      <c r="F98" s="42">
        <f>'[22]Appendix2 1516 Feeder'!F17</f>
        <v>0</v>
      </c>
      <c r="G98" s="42">
        <f>'[22]Appendix2 1516 Feeder'!G17</f>
        <v>0</v>
      </c>
      <c r="H98" s="42">
        <f>'[22]Appendix2 1516 Feeder'!H17</f>
        <v>0</v>
      </c>
      <c r="I98" s="42"/>
      <c r="J98" s="40">
        <f t="shared" si="28"/>
        <v>0</v>
      </c>
      <c r="K98" s="80" t="e">
        <f t="shared" si="27"/>
        <v>#DIV/0!</v>
      </c>
    </row>
    <row r="99" spans="1:11" ht="12.75">
      <c r="A99" s="10" t="s">
        <v>18</v>
      </c>
      <c r="B99" s="41">
        <f>'2014-15'!J99</f>
        <v>538.225</v>
      </c>
      <c r="C99" s="42">
        <f>'[22]Appendix2 1516 Feeder'!C18</f>
        <v>0</v>
      </c>
      <c r="D99" s="42">
        <f>'[22]Appendix2 1516 Feeder'!D18</f>
        <v>0</v>
      </c>
      <c r="E99" s="42">
        <f>'[22]Appendix2 1516 Feeder'!E18</f>
        <v>0</v>
      </c>
      <c r="F99" s="42">
        <f>'[22]Appendix2 1516 Feeder'!F18</f>
        <v>0</v>
      </c>
      <c r="G99" s="42">
        <f>'[22]Appendix2 1516 Feeder'!G18</f>
        <v>-18.463</v>
      </c>
      <c r="H99" s="42">
        <f>'[22]Appendix2 1516 Feeder'!H18</f>
        <v>0</v>
      </c>
      <c r="I99" s="42">
        <v>0</v>
      </c>
      <c r="J99" s="40">
        <f t="shared" si="28"/>
        <v>519.7620000000001</v>
      </c>
      <c r="K99" s="80">
        <f t="shared" si="27"/>
        <v>-0.03430349760787768</v>
      </c>
    </row>
    <row r="100" spans="1:11" ht="12.75">
      <c r="A100" s="10" t="s">
        <v>19</v>
      </c>
      <c r="B100" s="41">
        <f>'2014-15'!J100</f>
        <v>-7.384</v>
      </c>
      <c r="C100" s="42">
        <f>'[22]Appendix2 1516 Feeder'!C19</f>
        <v>0</v>
      </c>
      <c r="D100" s="42">
        <f>'[22]Appendix2 1516 Feeder'!D19</f>
        <v>0</v>
      </c>
      <c r="E100" s="42">
        <f>'[22]Appendix2 1516 Feeder'!E19</f>
        <v>0</v>
      </c>
      <c r="F100" s="42">
        <f>'[22]Appendix2 1516 Feeder'!F19</f>
        <v>0</v>
      </c>
      <c r="G100" s="42">
        <f>'[22]Appendix2 1516 Feeder'!G19</f>
        <v>0</v>
      </c>
      <c r="H100" s="42">
        <f>'[22]Appendix2 1516 Feeder'!H19</f>
        <v>0</v>
      </c>
      <c r="I100" s="42">
        <v>0</v>
      </c>
      <c r="J100" s="40">
        <f t="shared" si="28"/>
        <v>-7.384</v>
      </c>
      <c r="K100" s="80">
        <f t="shared" si="27"/>
        <v>0</v>
      </c>
    </row>
    <row r="101" spans="1:11" ht="12.75">
      <c r="A101" s="10"/>
      <c r="B101" s="41"/>
      <c r="C101" s="42"/>
      <c r="D101" s="42"/>
      <c r="E101" s="42"/>
      <c r="F101" s="42"/>
      <c r="G101" s="42"/>
      <c r="H101" s="42"/>
      <c r="I101" s="42"/>
      <c r="J101" s="40">
        <f t="shared" si="28"/>
        <v>0</v>
      </c>
      <c r="K101" s="16"/>
    </row>
    <row r="102" spans="1:11" ht="12.75">
      <c r="A102" s="27"/>
      <c r="B102" s="47"/>
      <c r="C102" s="48"/>
      <c r="D102" s="48"/>
      <c r="E102" s="48"/>
      <c r="F102" s="48"/>
      <c r="G102" s="48"/>
      <c r="H102" s="48"/>
      <c r="I102" s="48"/>
      <c r="J102" s="48"/>
      <c r="K102" s="16"/>
    </row>
    <row r="103" spans="1:11" ht="12.75">
      <c r="A103" s="26" t="s">
        <v>23</v>
      </c>
      <c r="B103" s="36">
        <f aca="true" t="shared" si="29" ref="B103:J103">+SUM(B104:B109)</f>
        <v>2440.9120000000003</v>
      </c>
      <c r="C103" s="38">
        <f t="shared" si="29"/>
        <v>0</v>
      </c>
      <c r="D103" s="38">
        <f t="shared" si="29"/>
        <v>0</v>
      </c>
      <c r="E103" s="38">
        <f t="shared" si="29"/>
        <v>-5.359</v>
      </c>
      <c r="F103" s="38">
        <f t="shared" si="29"/>
        <v>0</v>
      </c>
      <c r="G103" s="38">
        <f t="shared" si="29"/>
        <v>-5</v>
      </c>
      <c r="H103" s="38">
        <f t="shared" si="29"/>
        <v>-28</v>
      </c>
      <c r="I103" s="38">
        <f t="shared" si="29"/>
        <v>0</v>
      </c>
      <c r="J103" s="38">
        <f t="shared" si="29"/>
        <v>2402.553</v>
      </c>
      <c r="K103" s="79">
        <f aca="true" t="shared" si="30" ref="K103:K109">+(J103-B103)/B103</f>
        <v>-0.015715027825665313</v>
      </c>
    </row>
    <row r="104" spans="1:11" ht="12.75">
      <c r="A104" s="11" t="s">
        <v>62</v>
      </c>
      <c r="B104" s="41">
        <f>'2014-15'!J104</f>
        <v>225.828</v>
      </c>
      <c r="C104" s="42">
        <f>'[27]Appendix2 1516 Feeder'!C15</f>
        <v>0</v>
      </c>
      <c r="D104" s="42">
        <f>'[27]Appendix2 1516 Feeder'!D15</f>
        <v>0</v>
      </c>
      <c r="E104" s="42">
        <f>'[27]Appendix2 1516 Feeder'!E15</f>
        <v>-4.359</v>
      </c>
      <c r="F104" s="42">
        <f>'[27]Appendix2 1516 Feeder'!F15</f>
        <v>0</v>
      </c>
      <c r="G104" s="42">
        <f>'[27]Appendix2 1516 Feeder'!G15</f>
        <v>0</v>
      </c>
      <c r="H104" s="42">
        <f>'[27]Appendix2 1516 Feeder'!H15</f>
        <v>0</v>
      </c>
      <c r="I104" s="42">
        <v>0</v>
      </c>
      <c r="J104" s="40">
        <f aca="true" t="shared" si="31" ref="J104:J109">+B104+SUM(C104:I104)</f>
        <v>221.469</v>
      </c>
      <c r="K104" s="80">
        <f t="shared" si="30"/>
        <v>-0.019302300866145955</v>
      </c>
    </row>
    <row r="105" spans="1:11" ht="12.75">
      <c r="A105" s="11" t="s">
        <v>63</v>
      </c>
      <c r="B105" s="41">
        <f>'2014-15'!J105</f>
        <v>159.248</v>
      </c>
      <c r="C105" s="42">
        <f>'[27]Appendix2 1516 Feeder'!C16</f>
        <v>0</v>
      </c>
      <c r="D105" s="42">
        <f>'[27]Appendix2 1516 Feeder'!D16</f>
        <v>0</v>
      </c>
      <c r="E105" s="42">
        <f>'[27]Appendix2 1516 Feeder'!E16</f>
        <v>-1</v>
      </c>
      <c r="F105" s="42">
        <f>'[27]Appendix2 1516 Feeder'!F16</f>
        <v>0</v>
      </c>
      <c r="G105" s="42">
        <f>'[27]Appendix2 1516 Feeder'!G16</f>
        <v>0</v>
      </c>
      <c r="H105" s="42">
        <f>'[27]Appendix2 1516 Feeder'!H16</f>
        <v>0</v>
      </c>
      <c r="I105" s="42">
        <v>0</v>
      </c>
      <c r="J105" s="40">
        <f t="shared" si="31"/>
        <v>158.248</v>
      </c>
      <c r="K105" s="80">
        <f t="shared" si="30"/>
        <v>-0.0062795137144579525</v>
      </c>
    </row>
    <row r="106" spans="1:11" ht="12.75">
      <c r="A106" s="11" t="s">
        <v>64</v>
      </c>
      <c r="B106" s="41">
        <f>'2014-15'!J106</f>
        <v>722.154</v>
      </c>
      <c r="C106" s="42">
        <f>'[27]Appendix2 1516 Feeder'!C17</f>
        <v>0</v>
      </c>
      <c r="D106" s="42">
        <f>'[27]Appendix2 1516 Feeder'!D17</f>
        <v>0</v>
      </c>
      <c r="E106" s="42">
        <f>'[27]Appendix2 1516 Feeder'!E17</f>
        <v>0</v>
      </c>
      <c r="F106" s="42">
        <f>'[27]Appendix2 1516 Feeder'!F17</f>
        <v>0</v>
      </c>
      <c r="G106" s="42">
        <f>'[27]Appendix2 1516 Feeder'!G17</f>
        <v>-5</v>
      </c>
      <c r="H106" s="42">
        <f>'[27]Appendix2 1516 Feeder'!H17</f>
        <v>0</v>
      </c>
      <c r="I106" s="42">
        <v>0</v>
      </c>
      <c r="J106" s="40">
        <f t="shared" si="31"/>
        <v>717.154</v>
      </c>
      <c r="K106" s="80">
        <f t="shared" si="30"/>
        <v>-0.0069237309493542926</v>
      </c>
    </row>
    <row r="107" spans="1:11" ht="12.75">
      <c r="A107" s="11" t="s">
        <v>65</v>
      </c>
      <c r="B107" s="41">
        <f>'2014-15'!J107</f>
        <v>439.242</v>
      </c>
      <c r="C107" s="42">
        <f>'[27]Appendix2 1516 Feeder'!C18</f>
        <v>0</v>
      </c>
      <c r="D107" s="42">
        <f>'[27]Appendix2 1516 Feeder'!D18</f>
        <v>0</v>
      </c>
      <c r="E107" s="42">
        <f>'[27]Appendix2 1516 Feeder'!E18</f>
        <v>0</v>
      </c>
      <c r="F107" s="42">
        <f>'[27]Appendix2 1516 Feeder'!F18</f>
        <v>0</v>
      </c>
      <c r="G107" s="42">
        <f>'[27]Appendix2 1516 Feeder'!G18</f>
        <v>0</v>
      </c>
      <c r="H107" s="42">
        <f>'[27]Appendix2 1516 Feeder'!H18</f>
        <v>0</v>
      </c>
      <c r="I107" s="42">
        <v>0</v>
      </c>
      <c r="J107" s="40">
        <f t="shared" si="31"/>
        <v>439.242</v>
      </c>
      <c r="K107" s="80">
        <f t="shared" si="30"/>
        <v>0</v>
      </c>
    </row>
    <row r="108" spans="1:11" ht="12.75">
      <c r="A108" s="11" t="s">
        <v>66</v>
      </c>
      <c r="B108" s="41">
        <f>'2014-15'!J108</f>
        <v>52.728</v>
      </c>
      <c r="C108" s="42">
        <f>'[27]Appendix2 1516 Feeder'!C19</f>
        <v>0</v>
      </c>
      <c r="D108" s="42">
        <f>'[27]Appendix2 1516 Feeder'!D19</f>
        <v>0</v>
      </c>
      <c r="E108" s="42">
        <f>'[27]Appendix2 1516 Feeder'!E19</f>
        <v>0</v>
      </c>
      <c r="F108" s="42">
        <f>'[27]Appendix2 1516 Feeder'!F19</f>
        <v>0</v>
      </c>
      <c r="G108" s="42">
        <f>'[27]Appendix2 1516 Feeder'!G19</f>
        <v>0</v>
      </c>
      <c r="H108" s="42">
        <f>'[27]Appendix2 1516 Feeder'!H19</f>
        <v>0</v>
      </c>
      <c r="I108" s="42">
        <v>0</v>
      </c>
      <c r="J108" s="40">
        <f t="shared" si="31"/>
        <v>52.728</v>
      </c>
      <c r="K108" s="80">
        <f t="shared" si="30"/>
        <v>0</v>
      </c>
    </row>
    <row r="109" spans="1:11" ht="12.75">
      <c r="A109" s="11" t="s">
        <v>67</v>
      </c>
      <c r="B109" s="41">
        <f>'2014-15'!J109</f>
        <v>841.712</v>
      </c>
      <c r="C109" s="42">
        <f>'[27]Appendix2 1516 Feeder'!C20</f>
        <v>0</v>
      </c>
      <c r="D109" s="42">
        <f>'[27]Appendix2 1516 Feeder'!D20</f>
        <v>0</v>
      </c>
      <c r="E109" s="42">
        <f>'[27]Appendix2 1516 Feeder'!E20</f>
        <v>0</v>
      </c>
      <c r="F109" s="42">
        <f>'[27]Appendix2 1516 Feeder'!F20</f>
        <v>0</v>
      </c>
      <c r="G109" s="42">
        <f>'[27]Appendix2 1516 Feeder'!G20</f>
        <v>0</v>
      </c>
      <c r="H109" s="42">
        <f>'[27]Appendix2 1516 Feeder'!H20</f>
        <v>-28</v>
      </c>
      <c r="I109" s="42">
        <v>0</v>
      </c>
      <c r="J109" s="40">
        <f t="shared" si="31"/>
        <v>813.712</v>
      </c>
      <c r="K109" s="80">
        <f t="shared" si="30"/>
        <v>-0.03326553500484727</v>
      </c>
    </row>
    <row r="110" spans="1:11" ht="12.75">
      <c r="A110" s="29"/>
      <c r="B110" s="45"/>
      <c r="C110" s="46"/>
      <c r="D110" s="46"/>
      <c r="E110" s="46"/>
      <c r="F110" s="46"/>
      <c r="G110" s="46"/>
      <c r="H110" s="46"/>
      <c r="I110" s="46"/>
      <c r="J110" s="46"/>
      <c r="K110" s="20"/>
    </row>
    <row r="111" spans="1:13" ht="41.25" customHeight="1">
      <c r="A111" s="32" t="s">
        <v>120</v>
      </c>
      <c r="B111" s="49">
        <f aca="true" t="shared" si="32" ref="B111:J111">+B4+B27+B49+B87</f>
        <v>20683.2234280925</v>
      </c>
      <c r="C111" s="50">
        <f t="shared" si="32"/>
        <v>73.545</v>
      </c>
      <c r="D111" s="50">
        <f t="shared" si="32"/>
        <v>-25</v>
      </c>
      <c r="E111" s="50">
        <f t="shared" si="32"/>
        <v>-498.887</v>
      </c>
      <c r="F111" s="50">
        <f t="shared" si="32"/>
        <v>0</v>
      </c>
      <c r="G111" s="50">
        <f t="shared" si="32"/>
        <v>-555.036</v>
      </c>
      <c r="H111" s="50">
        <f t="shared" si="32"/>
        <v>-179.387</v>
      </c>
      <c r="I111" s="50">
        <f t="shared" si="32"/>
        <v>-30</v>
      </c>
      <c r="J111" s="50">
        <f t="shared" si="32"/>
        <v>19468.458428092497</v>
      </c>
      <c r="K111" s="81">
        <f>+(J111-B111)/B111</f>
        <v>-0.05873189951379035</v>
      </c>
      <c r="M111" s="60"/>
    </row>
    <row r="112" spans="1:11" ht="12.75">
      <c r="A112" s="33"/>
      <c r="B112" s="1"/>
      <c r="C112" s="1"/>
      <c r="D112" s="1"/>
      <c r="E112" s="1"/>
      <c r="F112" s="1"/>
      <c r="G112" s="1"/>
      <c r="H112" s="1"/>
      <c r="I112" s="1"/>
      <c r="J112" s="22"/>
      <c r="K112" s="23"/>
    </row>
    <row r="113" spans="1:13" ht="18.75" customHeight="1">
      <c r="A113" s="32" t="s">
        <v>245</v>
      </c>
      <c r="B113" s="49"/>
      <c r="C113" s="50">
        <f>+C111+'2014-15'!C111+'2013-14'!C111+'2012-13'!C111</f>
        <v>658.9960280925002</v>
      </c>
      <c r="D113" s="50">
        <f>+D111+'2014-15'!D111+'2013-14'!D111+'2012-13'!D111</f>
        <v>350.59999999999997</v>
      </c>
      <c r="E113" s="50">
        <f>+E111+'2014-15'!E111+'2013-14'!E111+'2012-13'!E111</f>
        <v>-3581.6166000000003</v>
      </c>
      <c r="F113" s="50">
        <f>+F111+'2014-15'!F111+'2013-14'!F111+'2012-13'!F111</f>
        <v>-684</v>
      </c>
      <c r="G113" s="50">
        <f>+G111+'2014-15'!G111+'2013-14'!G111+'2012-13'!G111</f>
        <v>-2680.726</v>
      </c>
      <c r="H113" s="50">
        <f>+H111+'2014-15'!H111+'2013-14'!H111+'2012-13'!H111</f>
        <v>-920.587</v>
      </c>
      <c r="I113" s="50">
        <f>+I111+'2014-15'!I111+'2013-14'!I111+'2012-13'!I111</f>
        <v>796</v>
      </c>
      <c r="J113" s="50"/>
      <c r="K113" s="81"/>
      <c r="M113" s="60"/>
    </row>
    <row r="114" spans="3:10" ht="12.75" hidden="1">
      <c r="C114" s="12">
        <v>16</v>
      </c>
      <c r="D114" s="12">
        <v>1141</v>
      </c>
      <c r="E114" s="12">
        <v>-1505.0497</v>
      </c>
      <c r="F114" s="12">
        <v>-756</v>
      </c>
      <c r="G114" s="12">
        <v>-537.74</v>
      </c>
      <c r="H114" s="12">
        <v>-340.8</v>
      </c>
      <c r="J114" s="12">
        <v>19468.081149999998</v>
      </c>
    </row>
    <row r="115" ht="12.75" hidden="1"/>
    <row r="116" ht="12.75" hidden="1"/>
    <row r="117" spans="3:10" ht="12.75" hidden="1">
      <c r="C117" s="60">
        <f aca="true" t="shared" si="33" ref="C117:J117">+C114-C111</f>
        <v>-57.545</v>
      </c>
      <c r="D117" s="60">
        <f t="shared" si="33"/>
        <v>1166</v>
      </c>
      <c r="E117" s="60">
        <f t="shared" si="33"/>
        <v>-1006.1627000000001</v>
      </c>
      <c r="F117" s="60">
        <f t="shared" si="33"/>
        <v>-756</v>
      </c>
      <c r="G117" s="60">
        <f t="shared" si="33"/>
        <v>17.295999999999935</v>
      </c>
      <c r="H117" s="60">
        <f t="shared" si="33"/>
        <v>-161.413</v>
      </c>
      <c r="I117" s="60"/>
      <c r="J117" s="60">
        <f t="shared" si="33"/>
        <v>-0.3772780924991821</v>
      </c>
    </row>
    <row r="118" ht="12.75" hidden="1"/>
  </sheetData>
  <autoFilter ref="A3:K111"/>
  <mergeCells count="1">
    <mergeCell ref="A1:K1"/>
  </mergeCells>
  <conditionalFormatting sqref="K101:K102 K75 K85:K86 K110 K69 K57 K48 K50 K28 K26 K18 K88 K2:K3 K5 K12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6299212598425197" header="0.31496062992125984" footer="0.1968503937007874"/>
  <pageSetup fitToHeight="5" horizontalDpi="600" verticalDpi="600" orientation="landscape" paperSize="9" scale="85" r:id="rId1"/>
  <headerFooter alignWithMargins="0">
    <oddHeader>&amp;R&amp;16Appendix 2</oddHeader>
    <oddFooter>&amp;R&amp;16&amp;P</oddFooter>
  </headerFooter>
  <rowBreaks count="3" manualBreakCount="3">
    <brk id="26" max="255" man="1"/>
    <brk id="48" max="9" man="1"/>
    <brk id="85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117"/>
  <sheetViews>
    <sheetView view="pageBreakPreview" zoomScale="60" zoomScaleNormal="70" workbookViewId="0" topLeftCell="A1">
      <pane xSplit="1" ySplit="3" topLeftCell="B4" activePane="bottomRight" state="frozen"/>
      <selection pane="topLeft" activeCell="M103" sqref="M103"/>
      <selection pane="topRight" activeCell="M103" sqref="M103"/>
      <selection pane="bottomLeft" activeCell="M103" sqref="M103"/>
      <selection pane="bottomRight" activeCell="K3" sqref="K3"/>
    </sheetView>
  </sheetViews>
  <sheetFormatPr defaultColWidth="9.140625" defaultRowHeight="12.75"/>
  <cols>
    <col min="1" max="1" width="33.28125" style="30" bestFit="1" customWidth="1"/>
    <col min="2" max="2" width="12.7109375" style="12" customWidth="1"/>
    <col min="3" max="3" width="14.7109375" style="12" customWidth="1"/>
    <col min="4" max="7" width="12.7109375" style="12" customWidth="1"/>
    <col min="8" max="8" width="14.140625" style="12" customWidth="1"/>
    <col min="9" max="9" width="12.7109375" style="12" customWidth="1"/>
    <col min="10" max="10" width="11.7109375" style="12" bestFit="1" customWidth="1"/>
    <col min="11" max="11" width="9.140625" style="12" customWidth="1"/>
    <col min="12" max="12" width="9.421875" style="12" bestFit="1" customWidth="1"/>
    <col min="13" max="16384" width="9.140625" style="12" customWidth="1"/>
  </cols>
  <sheetData>
    <row r="1" spans="1:10" ht="27.75">
      <c r="A1" s="158" t="s">
        <v>181</v>
      </c>
      <c r="B1" s="159"/>
      <c r="C1" s="159"/>
      <c r="D1" s="159"/>
      <c r="E1" s="159"/>
      <c r="F1" s="159"/>
      <c r="G1" s="159"/>
      <c r="H1" s="159"/>
      <c r="I1" s="159"/>
      <c r="J1" s="160"/>
    </row>
    <row r="2" spans="1:10" ht="90.75" customHeight="1">
      <c r="A2" s="32"/>
      <c r="B2" s="4" t="s">
        <v>180</v>
      </c>
      <c r="C2" s="5" t="s">
        <v>10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182</v>
      </c>
      <c r="J2" s="2" t="s">
        <v>114</v>
      </c>
    </row>
    <row r="3" spans="1:10" ht="13.5" customHeight="1">
      <c r="A3" s="52"/>
      <c r="B3" s="24" t="s">
        <v>73</v>
      </c>
      <c r="C3" s="7" t="s">
        <v>73</v>
      </c>
      <c r="D3" s="7" t="s">
        <v>73</v>
      </c>
      <c r="E3" s="7" t="s">
        <v>73</v>
      </c>
      <c r="F3" s="7" t="s">
        <v>73</v>
      </c>
      <c r="G3" s="7" t="s">
        <v>73</v>
      </c>
      <c r="H3" s="7" t="s">
        <v>73</v>
      </c>
      <c r="I3" s="7" t="s">
        <v>73</v>
      </c>
      <c r="J3" s="4"/>
    </row>
    <row r="4" spans="1:10" ht="12.75">
      <c r="A4" s="25" t="s">
        <v>24</v>
      </c>
      <c r="B4" s="34">
        <f aca="true" t="shared" si="0" ref="B4:I4">+B6+B13+B19</f>
        <v>3457.791</v>
      </c>
      <c r="C4" s="35">
        <f t="shared" si="0"/>
        <v>0</v>
      </c>
      <c r="D4" s="35">
        <f t="shared" si="0"/>
        <v>0</v>
      </c>
      <c r="E4" s="35">
        <f t="shared" si="0"/>
        <v>-20.299</v>
      </c>
      <c r="F4" s="35">
        <f t="shared" si="0"/>
        <v>0</v>
      </c>
      <c r="G4" s="35">
        <f t="shared" si="0"/>
        <v>-6.207</v>
      </c>
      <c r="H4" s="35">
        <f t="shared" si="0"/>
        <v>-60</v>
      </c>
      <c r="I4" s="35">
        <f t="shared" si="0"/>
        <v>3371.2850000000008</v>
      </c>
      <c r="J4" s="77">
        <f>+(I4-B4)/B4</f>
        <v>-0.025017706391161118</v>
      </c>
    </row>
    <row r="5" spans="1:10" ht="12.75">
      <c r="A5" s="26"/>
      <c r="B5" s="36"/>
      <c r="C5" s="37"/>
      <c r="D5" s="37"/>
      <c r="E5" s="37"/>
      <c r="F5" s="37"/>
      <c r="G5" s="37"/>
      <c r="H5" s="37"/>
      <c r="I5" s="78"/>
      <c r="J5" s="16"/>
    </row>
    <row r="6" spans="1:10" ht="12.75">
      <c r="A6" s="26" t="s">
        <v>25</v>
      </c>
      <c r="B6" s="36">
        <f aca="true" t="shared" si="1" ref="B6:I6">+SUM(B7:B11)</f>
        <v>786.362</v>
      </c>
      <c r="C6" s="38">
        <f t="shared" si="1"/>
        <v>0</v>
      </c>
      <c r="D6" s="38">
        <f t="shared" si="1"/>
        <v>0</v>
      </c>
      <c r="E6" s="38">
        <f t="shared" si="1"/>
        <v>0</v>
      </c>
      <c r="F6" s="38">
        <f t="shared" si="1"/>
        <v>0</v>
      </c>
      <c r="G6" s="38">
        <f t="shared" si="1"/>
        <v>-6.207</v>
      </c>
      <c r="H6" s="38">
        <f t="shared" si="1"/>
        <v>-10</v>
      </c>
      <c r="I6" s="38">
        <f t="shared" si="1"/>
        <v>770.155</v>
      </c>
      <c r="J6" s="79">
        <f aca="true" t="shared" si="2" ref="J6:J11">+(I6-B6)/B6</f>
        <v>-0.020610100691539002</v>
      </c>
    </row>
    <row r="7" spans="1:10" ht="12.75">
      <c r="A7" s="10" t="s">
        <v>26</v>
      </c>
      <c r="B7" s="39">
        <f>'2015-16'!J7</f>
        <v>6.424999999999997</v>
      </c>
      <c r="C7" s="40">
        <f>'[17]Appendix2 1617 Feeder'!C15</f>
        <v>0</v>
      </c>
      <c r="D7" s="40">
        <f>'[17]Appendix2 1617 Feeder'!D15</f>
        <v>0</v>
      </c>
      <c r="E7" s="40">
        <f>'[17]Appendix2 1617 Feeder'!E15</f>
        <v>0</v>
      </c>
      <c r="F7" s="40">
        <f>'[17]Appendix2 1617 Feeder'!F15</f>
        <v>0</v>
      </c>
      <c r="G7" s="40">
        <f>'[17]Appendix2 1617 Feeder'!G15</f>
        <v>0</v>
      </c>
      <c r="H7" s="40">
        <f>'[17]Appendix2 1617 Feeder'!H15</f>
        <v>-10</v>
      </c>
      <c r="I7" s="40">
        <f>+B7+SUM(C7:H7)</f>
        <v>-3.575000000000003</v>
      </c>
      <c r="J7" s="80">
        <f t="shared" si="2"/>
        <v>-1.5564202334630357</v>
      </c>
    </row>
    <row r="8" spans="1:10" ht="12.75">
      <c r="A8" s="10" t="s">
        <v>27</v>
      </c>
      <c r="B8" s="39">
        <f>'2015-16'!J8</f>
        <v>2.8330000000000046</v>
      </c>
      <c r="C8" s="40">
        <f>'[17]Appendix2 1617 Feeder'!C16</f>
        <v>0</v>
      </c>
      <c r="D8" s="40">
        <f>'[17]Appendix2 1617 Feeder'!D16</f>
        <v>0</v>
      </c>
      <c r="E8" s="40">
        <f>'[17]Appendix2 1617 Feeder'!E16</f>
        <v>0</v>
      </c>
      <c r="F8" s="40">
        <f>'[17]Appendix2 1617 Feeder'!F16</f>
        <v>0</v>
      </c>
      <c r="G8" s="40">
        <f>'[17]Appendix2 1617 Feeder'!G16</f>
        <v>-6.207</v>
      </c>
      <c r="H8" s="40">
        <f>'[17]Appendix2 1617 Feeder'!H16</f>
        <v>0</v>
      </c>
      <c r="I8" s="40">
        <f>+B8+SUM(C8:H8)</f>
        <v>-3.3739999999999952</v>
      </c>
      <c r="J8" s="80">
        <f t="shared" si="2"/>
        <v>-2.1909636427815</v>
      </c>
    </row>
    <row r="9" spans="1:10" ht="12.75">
      <c r="A9" s="10" t="s">
        <v>110</v>
      </c>
      <c r="B9" s="39">
        <f>'2015-16'!J9</f>
        <v>392.503</v>
      </c>
      <c r="C9" s="40">
        <f>'[17]Appendix2 1617 Feeder'!C17</f>
        <v>0</v>
      </c>
      <c r="D9" s="40">
        <f>'[17]Appendix2 1617 Feeder'!D17</f>
        <v>0</v>
      </c>
      <c r="E9" s="40">
        <f>'[17]Appendix2 1617 Feeder'!E17</f>
        <v>0</v>
      </c>
      <c r="F9" s="40">
        <f>'[17]Appendix2 1617 Feeder'!F17</f>
        <v>0</v>
      </c>
      <c r="G9" s="40">
        <f>'[17]Appendix2 1617 Feeder'!G17</f>
        <v>0</v>
      </c>
      <c r="H9" s="40">
        <f>'[17]Appendix2 1617 Feeder'!H17</f>
        <v>0</v>
      </c>
      <c r="I9" s="40">
        <f>+B9+SUM(C9:H9)</f>
        <v>392.503</v>
      </c>
      <c r="J9" s="80">
        <f t="shared" si="2"/>
        <v>0</v>
      </c>
    </row>
    <row r="10" spans="1:10" ht="12.75">
      <c r="A10" s="10" t="s">
        <v>28</v>
      </c>
      <c r="B10" s="39">
        <f>'2015-16'!J10</f>
        <v>-69.279</v>
      </c>
      <c r="C10" s="40">
        <f>'[17]Appendix2 1617 Feeder'!C18</f>
        <v>0</v>
      </c>
      <c r="D10" s="40">
        <f>'[17]Appendix2 1617 Feeder'!D18</f>
        <v>0</v>
      </c>
      <c r="E10" s="40">
        <f>'[17]Appendix2 1617 Feeder'!E18</f>
        <v>0</v>
      </c>
      <c r="F10" s="40">
        <f>'[17]Appendix2 1617 Feeder'!F18</f>
        <v>0</v>
      </c>
      <c r="G10" s="40">
        <f>'[17]Appendix2 1617 Feeder'!G18</f>
        <v>0</v>
      </c>
      <c r="H10" s="40">
        <f>'[17]Appendix2 1617 Feeder'!H18</f>
        <v>0</v>
      </c>
      <c r="I10" s="40">
        <f>+B10+SUM(C10:H10)</f>
        <v>-69.279</v>
      </c>
      <c r="J10" s="80">
        <f t="shared" si="2"/>
        <v>0</v>
      </c>
    </row>
    <row r="11" spans="1:10" ht="12.75">
      <c r="A11" s="10" t="s">
        <v>82</v>
      </c>
      <c r="B11" s="39">
        <f>'2015-16'!J11</f>
        <v>453.88</v>
      </c>
      <c r="C11" s="40">
        <f>'[17]Appendix2 1617 Feeder'!C19</f>
        <v>0</v>
      </c>
      <c r="D11" s="40">
        <f>'[17]Appendix2 1617 Feeder'!D19</f>
        <v>0</v>
      </c>
      <c r="E11" s="40">
        <f>'[17]Appendix2 1617 Feeder'!E19</f>
        <v>0</v>
      </c>
      <c r="F11" s="40">
        <f>'[17]Appendix2 1617 Feeder'!F19</f>
        <v>0</v>
      </c>
      <c r="G11" s="40">
        <f>'[17]Appendix2 1617 Feeder'!G19</f>
        <v>0</v>
      </c>
      <c r="H11" s="40">
        <f>'[17]Appendix2 1617 Feeder'!H19</f>
        <v>0</v>
      </c>
      <c r="I11" s="40">
        <f>+B11+SUM(C11:H11)</f>
        <v>453.88</v>
      </c>
      <c r="J11" s="80">
        <f t="shared" si="2"/>
        <v>0</v>
      </c>
    </row>
    <row r="12" spans="1:10" ht="12.75">
      <c r="A12" s="26"/>
      <c r="B12" s="36"/>
      <c r="C12" s="37"/>
      <c r="D12" s="37"/>
      <c r="E12" s="37"/>
      <c r="F12" s="37"/>
      <c r="G12" s="37"/>
      <c r="H12" s="37"/>
      <c r="I12" s="37"/>
      <c r="J12" s="16"/>
    </row>
    <row r="13" spans="1:10" ht="12.75">
      <c r="A13" s="28" t="s">
        <v>35</v>
      </c>
      <c r="B13" s="36">
        <f aca="true" t="shared" si="3" ref="B13:I13">+SUM(B14:B17)</f>
        <v>-4148.267</v>
      </c>
      <c r="C13" s="37">
        <f t="shared" si="3"/>
        <v>0</v>
      </c>
      <c r="D13" s="37">
        <f t="shared" si="3"/>
        <v>0</v>
      </c>
      <c r="E13" s="37">
        <f t="shared" si="3"/>
        <v>0</v>
      </c>
      <c r="F13" s="37">
        <f t="shared" si="3"/>
        <v>0</v>
      </c>
      <c r="G13" s="37">
        <f t="shared" si="3"/>
        <v>0</v>
      </c>
      <c r="H13" s="37">
        <f t="shared" si="3"/>
        <v>0</v>
      </c>
      <c r="I13" s="37">
        <f t="shared" si="3"/>
        <v>-4148.267</v>
      </c>
      <c r="J13" s="79">
        <f>+(I13-B13)/B13</f>
        <v>0</v>
      </c>
    </row>
    <row r="14" spans="1:10" ht="12.75">
      <c r="A14" s="21" t="s">
        <v>85</v>
      </c>
      <c r="B14" s="41">
        <f>'2015-16'!J14</f>
        <v>-6646.623</v>
      </c>
      <c r="C14" s="42">
        <f>'[15]Appendix2 1617 Feeder'!C15</f>
        <v>0</v>
      </c>
      <c r="D14" s="42">
        <f>'[15]Appendix2 1617 Feeder'!D15</f>
        <v>0</v>
      </c>
      <c r="E14" s="42">
        <f>'[15]Appendix2 1617 Feeder'!E15</f>
        <v>0</v>
      </c>
      <c r="F14" s="42">
        <f>'[15]Appendix2 1617 Feeder'!F15</f>
        <v>0</v>
      </c>
      <c r="G14" s="42">
        <f>'[15]Appendix2 1617 Feeder'!G15</f>
        <v>0</v>
      </c>
      <c r="H14" s="42">
        <f>'[15]Appendix2 1617 Feeder'!H15</f>
        <v>0</v>
      </c>
      <c r="I14" s="40">
        <f>+B14+SUM(C14:H14)</f>
        <v>-6646.623</v>
      </c>
      <c r="J14" s="80">
        <f>+(I14-B14)/B14</f>
        <v>0</v>
      </c>
    </row>
    <row r="15" spans="1:10" ht="12.75">
      <c r="A15" s="21" t="s">
        <v>86</v>
      </c>
      <c r="B15" s="41">
        <f>'2015-16'!J15</f>
        <v>876.4519999999999</v>
      </c>
      <c r="C15" s="42">
        <f>'[15]Appendix2 1617 Feeder'!C16</f>
        <v>0</v>
      </c>
      <c r="D15" s="42">
        <f>'[15]Appendix2 1617 Feeder'!D16</f>
        <v>0</v>
      </c>
      <c r="E15" s="42">
        <f>'[15]Appendix2 1617 Feeder'!E16</f>
        <v>0</v>
      </c>
      <c r="F15" s="42">
        <f>'[15]Appendix2 1617 Feeder'!F16</f>
        <v>0</v>
      </c>
      <c r="G15" s="42">
        <f>'[15]Appendix2 1617 Feeder'!G16</f>
        <v>0</v>
      </c>
      <c r="H15" s="42">
        <f>'[15]Appendix2 1617 Feeder'!H16</f>
        <v>0</v>
      </c>
      <c r="I15" s="40">
        <f>+B15+SUM(C15:H15)</f>
        <v>876.4519999999999</v>
      </c>
      <c r="J15" s="80">
        <f>+(I15-B15)/B15</f>
        <v>0</v>
      </c>
    </row>
    <row r="16" spans="1:10" ht="12.75">
      <c r="A16" s="21" t="s">
        <v>87</v>
      </c>
      <c r="B16" s="41">
        <f>'2015-16'!J16</f>
        <v>140.982</v>
      </c>
      <c r="C16" s="42">
        <f>'[15]Appendix2 1617 Feeder'!C17</f>
        <v>0</v>
      </c>
      <c r="D16" s="42">
        <f>'[15]Appendix2 1617 Feeder'!D17</f>
        <v>0</v>
      </c>
      <c r="E16" s="42">
        <f>'[15]Appendix2 1617 Feeder'!E17</f>
        <v>0</v>
      </c>
      <c r="F16" s="42">
        <f>'[15]Appendix2 1617 Feeder'!F17</f>
        <v>0</v>
      </c>
      <c r="G16" s="42">
        <f>'[15]Appendix2 1617 Feeder'!G17</f>
        <v>0</v>
      </c>
      <c r="H16" s="42">
        <f>'[15]Appendix2 1617 Feeder'!H17</f>
        <v>0</v>
      </c>
      <c r="I16" s="40">
        <f>+B16+SUM(C16:H16)</f>
        <v>140.982</v>
      </c>
      <c r="J16" s="80">
        <f>+(I16-B16)/B16</f>
        <v>0</v>
      </c>
    </row>
    <row r="17" spans="1:10" ht="12.75">
      <c r="A17" s="21" t="s">
        <v>110</v>
      </c>
      <c r="B17" s="41">
        <f>'2015-16'!J17</f>
        <v>1480.922</v>
      </c>
      <c r="C17" s="42">
        <f>'[15]Appendix2 1617 Feeder'!C18</f>
        <v>0</v>
      </c>
      <c r="D17" s="42">
        <f>'[15]Appendix2 1617 Feeder'!D18</f>
        <v>0</v>
      </c>
      <c r="E17" s="42">
        <f>'[15]Appendix2 1617 Feeder'!E18</f>
        <v>0</v>
      </c>
      <c r="F17" s="42">
        <f>'[15]Appendix2 1617 Feeder'!F18</f>
        <v>0</v>
      </c>
      <c r="G17" s="42">
        <f>'[15]Appendix2 1617 Feeder'!G18</f>
        <v>0</v>
      </c>
      <c r="H17" s="42">
        <f>'[15]Appendix2 1617 Feeder'!H18</f>
        <v>0</v>
      </c>
      <c r="I17" s="40">
        <f>+B17+SUM(C17:H17)</f>
        <v>1480.922</v>
      </c>
      <c r="J17" s="80">
        <f>+(I17-B17)/B17</f>
        <v>0</v>
      </c>
    </row>
    <row r="18" spans="1:10" ht="12.75">
      <c r="A18" s="27"/>
      <c r="B18" s="36"/>
      <c r="C18" s="37"/>
      <c r="D18" s="37"/>
      <c r="E18" s="37"/>
      <c r="F18" s="37"/>
      <c r="G18" s="37"/>
      <c r="H18" s="37"/>
      <c r="I18" s="37"/>
      <c r="J18" s="16"/>
    </row>
    <row r="19" spans="1:10" ht="12.75">
      <c r="A19" s="28" t="s">
        <v>191</v>
      </c>
      <c r="B19" s="36">
        <f aca="true" t="shared" si="4" ref="B19:I19">+SUM(B20:B25)</f>
        <v>6819.696</v>
      </c>
      <c r="C19" s="37">
        <f t="shared" si="4"/>
        <v>0</v>
      </c>
      <c r="D19" s="37">
        <f t="shared" si="4"/>
        <v>0</v>
      </c>
      <c r="E19" s="37">
        <f t="shared" si="4"/>
        <v>-20.299</v>
      </c>
      <c r="F19" s="37">
        <f t="shared" si="4"/>
        <v>0</v>
      </c>
      <c r="G19" s="37">
        <f t="shared" si="4"/>
        <v>0</v>
      </c>
      <c r="H19" s="37">
        <f t="shared" si="4"/>
        <v>-50</v>
      </c>
      <c r="I19" s="37">
        <f t="shared" si="4"/>
        <v>6749.397000000001</v>
      </c>
      <c r="J19" s="79">
        <f aca="true" t="shared" si="5" ref="J19:J25">+(I19-B19)/B19</f>
        <v>-0.010308230748115321</v>
      </c>
    </row>
    <row r="20" spans="1:10" ht="12.75">
      <c r="A20" s="11" t="s">
        <v>40</v>
      </c>
      <c r="B20" s="41">
        <f>'2015-16'!J20</f>
        <v>71.947</v>
      </c>
      <c r="C20" s="42">
        <f>'[16]Appendix2 1617 Feeder'!C15</f>
        <v>0</v>
      </c>
      <c r="D20" s="42">
        <f>'[16]Appendix2 1617 Feeder'!D15</f>
        <v>0</v>
      </c>
      <c r="E20" s="42">
        <f>'[16]Appendix2 1617 Feeder'!E15</f>
        <v>0</v>
      </c>
      <c r="F20" s="42">
        <f>'[16]Appendix2 1617 Feeder'!F15</f>
        <v>0</v>
      </c>
      <c r="G20" s="42">
        <f>'[16]Appendix2 1617 Feeder'!G15</f>
        <v>0</v>
      </c>
      <c r="H20" s="42">
        <f>'[16]Appendix2 1617 Feeder'!H15</f>
        <v>0</v>
      </c>
      <c r="I20" s="40">
        <f aca="true" t="shared" si="6" ref="I20:I25">+B20+SUM(C20:H20)</f>
        <v>71.947</v>
      </c>
      <c r="J20" s="80">
        <f t="shared" si="5"/>
        <v>0</v>
      </c>
    </row>
    <row r="21" spans="1:10" ht="12.75">
      <c r="A21" s="11" t="s">
        <v>142</v>
      </c>
      <c r="B21" s="41">
        <f>'2015-16'!J21</f>
        <v>1166.9650000000001</v>
      </c>
      <c r="C21" s="42">
        <f>'[16]Appendix2 1617 Feeder'!C16</f>
        <v>0</v>
      </c>
      <c r="D21" s="42">
        <f>'[16]Appendix2 1617 Feeder'!D16</f>
        <v>0</v>
      </c>
      <c r="E21" s="42">
        <f>'[16]Appendix2 1617 Feeder'!E16</f>
        <v>0</v>
      </c>
      <c r="F21" s="42">
        <f>'[16]Appendix2 1617 Feeder'!F16</f>
        <v>0</v>
      </c>
      <c r="G21" s="42">
        <f>'[16]Appendix2 1617 Feeder'!G16</f>
        <v>0</v>
      </c>
      <c r="H21" s="42">
        <f>'[16]Appendix2 1617 Feeder'!H16</f>
        <v>0</v>
      </c>
      <c r="I21" s="40">
        <f t="shared" si="6"/>
        <v>1166.9650000000001</v>
      </c>
      <c r="J21" s="80">
        <f t="shared" si="5"/>
        <v>0</v>
      </c>
    </row>
    <row r="22" spans="1:10" ht="12.75">
      <c r="A22" s="11" t="s">
        <v>143</v>
      </c>
      <c r="B22" s="41">
        <f>'2015-16'!J22</f>
        <v>1418.759</v>
      </c>
      <c r="C22" s="42">
        <f>'[16]Appendix2 1617 Feeder'!C17</f>
        <v>0</v>
      </c>
      <c r="D22" s="42">
        <f>'[16]Appendix2 1617 Feeder'!D17</f>
        <v>0</v>
      </c>
      <c r="E22" s="42">
        <f>'[16]Appendix2 1617 Feeder'!E17</f>
        <v>0</v>
      </c>
      <c r="F22" s="42">
        <f>'[16]Appendix2 1617 Feeder'!F17</f>
        <v>0</v>
      </c>
      <c r="G22" s="42">
        <f>'[16]Appendix2 1617 Feeder'!G17</f>
        <v>0</v>
      </c>
      <c r="H22" s="42">
        <f>'[16]Appendix2 1617 Feeder'!H17</f>
        <v>0</v>
      </c>
      <c r="I22" s="40">
        <f t="shared" si="6"/>
        <v>1418.759</v>
      </c>
      <c r="J22" s="80">
        <f t="shared" si="5"/>
        <v>0</v>
      </c>
    </row>
    <row r="23" spans="1:10" ht="12.75">
      <c r="A23" s="11" t="s">
        <v>144</v>
      </c>
      <c r="B23" s="41">
        <f>'2015-16'!J23</f>
        <v>526.365</v>
      </c>
      <c r="C23" s="42">
        <f>'[16]Appendix2 1617 Feeder'!C18</f>
        <v>0</v>
      </c>
      <c r="D23" s="42">
        <f>'[16]Appendix2 1617 Feeder'!D18</f>
        <v>0</v>
      </c>
      <c r="E23" s="42">
        <f>'[16]Appendix2 1617 Feeder'!E18</f>
        <v>-2</v>
      </c>
      <c r="F23" s="42">
        <f>'[16]Appendix2 1617 Feeder'!F18</f>
        <v>0</v>
      </c>
      <c r="G23" s="42">
        <f>'[16]Appendix2 1617 Feeder'!G18</f>
        <v>0</v>
      </c>
      <c r="H23" s="42">
        <f>'[16]Appendix2 1617 Feeder'!H18</f>
        <v>0</v>
      </c>
      <c r="I23" s="40">
        <f t="shared" si="6"/>
        <v>524.365</v>
      </c>
      <c r="J23" s="80">
        <f t="shared" si="5"/>
        <v>-0.0037996447332174443</v>
      </c>
    </row>
    <row r="24" spans="1:10" ht="12.75">
      <c r="A24" s="11" t="s">
        <v>146</v>
      </c>
      <c r="B24" s="41">
        <f>'2015-16'!J24</f>
        <v>1001.764</v>
      </c>
      <c r="C24" s="42">
        <f>'[16]Appendix2 1617 Feeder'!C19</f>
        <v>0</v>
      </c>
      <c r="D24" s="42">
        <f>'[16]Appendix2 1617 Feeder'!D19</f>
        <v>0</v>
      </c>
      <c r="E24" s="42">
        <f>'[16]Appendix2 1617 Feeder'!E19</f>
        <v>0</v>
      </c>
      <c r="F24" s="42">
        <f>'[16]Appendix2 1617 Feeder'!F19</f>
        <v>0</v>
      </c>
      <c r="G24" s="42">
        <f>'[16]Appendix2 1617 Feeder'!G19</f>
        <v>0</v>
      </c>
      <c r="H24" s="42">
        <f>'[16]Appendix2 1617 Feeder'!H19</f>
        <v>-50</v>
      </c>
      <c r="I24" s="40">
        <f t="shared" si="6"/>
        <v>951.764</v>
      </c>
      <c r="J24" s="80">
        <f t="shared" si="5"/>
        <v>-0.049911955310831695</v>
      </c>
    </row>
    <row r="25" spans="1:10" ht="12.75">
      <c r="A25" s="11" t="s">
        <v>145</v>
      </c>
      <c r="B25" s="41">
        <f>'2015-16'!J25</f>
        <v>2633.896</v>
      </c>
      <c r="C25" s="42">
        <f>'[16]Appendix2 1617 Feeder'!C20</f>
        <v>0</v>
      </c>
      <c r="D25" s="42">
        <f>'[16]Appendix2 1617 Feeder'!D20</f>
        <v>0</v>
      </c>
      <c r="E25" s="42">
        <f>'[16]Appendix2 1617 Feeder'!E20</f>
        <v>-18.299</v>
      </c>
      <c r="F25" s="42">
        <f>'[16]Appendix2 1617 Feeder'!F20</f>
        <v>0</v>
      </c>
      <c r="G25" s="42">
        <f>'[16]Appendix2 1617 Feeder'!G20</f>
        <v>0</v>
      </c>
      <c r="H25" s="42">
        <f>'[16]Appendix2 1617 Feeder'!H20</f>
        <v>0</v>
      </c>
      <c r="I25" s="40">
        <f t="shared" si="6"/>
        <v>2615.597</v>
      </c>
      <c r="J25" s="80">
        <f t="shared" si="5"/>
        <v>-0.0069475028626794595</v>
      </c>
    </row>
    <row r="26" spans="1:10" ht="12.75">
      <c r="A26" s="29"/>
      <c r="B26" s="43"/>
      <c r="C26" s="44"/>
      <c r="D26" s="44"/>
      <c r="E26" s="44"/>
      <c r="F26" s="44"/>
      <c r="G26" s="44"/>
      <c r="H26" s="44"/>
      <c r="I26" s="44"/>
      <c r="J26" s="20"/>
    </row>
    <row r="27" spans="1:10" ht="12.75">
      <c r="A27" s="25" t="s">
        <v>36</v>
      </c>
      <c r="B27" s="34">
        <f aca="true" t="shared" si="7" ref="B27:I27">+B29+B42+B37</f>
        <v>6995.7690280925</v>
      </c>
      <c r="C27" s="35">
        <f t="shared" si="7"/>
        <v>0</v>
      </c>
      <c r="D27" s="35">
        <f t="shared" si="7"/>
        <v>0</v>
      </c>
      <c r="E27" s="35">
        <f t="shared" si="7"/>
        <v>-50</v>
      </c>
      <c r="F27" s="35">
        <f t="shared" si="7"/>
        <v>0</v>
      </c>
      <c r="G27" s="35">
        <f t="shared" si="7"/>
        <v>0</v>
      </c>
      <c r="H27" s="35">
        <f t="shared" si="7"/>
        <v>0</v>
      </c>
      <c r="I27" s="35">
        <f t="shared" si="7"/>
        <v>6945.7690280925</v>
      </c>
      <c r="J27" s="79">
        <f>+(I27-B27)/B27</f>
        <v>-0.007147177072201488</v>
      </c>
    </row>
    <row r="28" spans="1:10" ht="12.75">
      <c r="A28" s="26"/>
      <c r="B28" s="36"/>
      <c r="C28" s="37"/>
      <c r="D28" s="37"/>
      <c r="E28" s="37"/>
      <c r="F28" s="37"/>
      <c r="G28" s="37"/>
      <c r="H28" s="37"/>
      <c r="I28" s="37"/>
      <c r="J28" s="16"/>
    </row>
    <row r="29" spans="1:10" ht="12.75">
      <c r="A29" s="26" t="s">
        <v>7</v>
      </c>
      <c r="B29" s="36">
        <f aca="true" t="shared" si="8" ref="B29:I29">+SUM(B30:B35)</f>
        <v>1989.9210000000003</v>
      </c>
      <c r="C29" s="38">
        <f t="shared" si="8"/>
        <v>0</v>
      </c>
      <c r="D29" s="38">
        <f t="shared" si="8"/>
        <v>0</v>
      </c>
      <c r="E29" s="38">
        <f t="shared" si="8"/>
        <v>-40</v>
      </c>
      <c r="F29" s="38">
        <f t="shared" si="8"/>
        <v>0</v>
      </c>
      <c r="G29" s="38">
        <f t="shared" si="8"/>
        <v>0</v>
      </c>
      <c r="H29" s="38">
        <f t="shared" si="8"/>
        <v>0</v>
      </c>
      <c r="I29" s="38">
        <f t="shared" si="8"/>
        <v>1949.9210000000003</v>
      </c>
      <c r="J29" s="79">
        <f aca="true" t="shared" si="9" ref="J29:J35">+(I29-B29)/B29</f>
        <v>-0.020101300503889346</v>
      </c>
    </row>
    <row r="30" spans="1:10" ht="12.75">
      <c r="A30" s="10" t="s">
        <v>9</v>
      </c>
      <c r="B30" s="41">
        <f>'2015-16'!J30</f>
        <v>1243.228</v>
      </c>
      <c r="C30" s="42">
        <f>+'[23]Appendix2 1617 Feeder'!C15</f>
        <v>0</v>
      </c>
      <c r="D30" s="42">
        <f>+'[23]Appendix2 1617 Feeder'!D15</f>
        <v>0</v>
      </c>
      <c r="E30" s="42">
        <f>+'[23]Appendix2 1617 Feeder'!E15</f>
        <v>-40</v>
      </c>
      <c r="F30" s="42">
        <f>+'[23]Appendix2 1617 Feeder'!F15</f>
        <v>0</v>
      </c>
      <c r="G30" s="42">
        <f>+'[23]Appendix2 1617 Feeder'!G15</f>
        <v>0</v>
      </c>
      <c r="H30" s="42">
        <f>+'[23]Appendix2 1617 Feeder'!H15</f>
        <v>0</v>
      </c>
      <c r="I30" s="40">
        <f aca="true" t="shared" si="10" ref="I30:I35">+B30+SUM(C30:H30)</f>
        <v>1203.228</v>
      </c>
      <c r="J30" s="80">
        <f t="shared" si="9"/>
        <v>-0.032174307528466214</v>
      </c>
    </row>
    <row r="31" spans="1:10" ht="12.75">
      <c r="A31" s="10" t="s">
        <v>11</v>
      </c>
      <c r="B31" s="41">
        <f>'2015-16'!J31</f>
        <v>57.80099999999999</v>
      </c>
      <c r="C31" s="42">
        <f>+'[23]Appendix2 1617 Feeder'!C16</f>
        <v>0</v>
      </c>
      <c r="D31" s="42">
        <f>+'[23]Appendix2 1617 Feeder'!D16</f>
        <v>0</v>
      </c>
      <c r="E31" s="42">
        <f>+'[23]Appendix2 1617 Feeder'!E16</f>
        <v>0</v>
      </c>
      <c r="F31" s="42">
        <f>+'[23]Appendix2 1617 Feeder'!F16</f>
        <v>0</v>
      </c>
      <c r="G31" s="42">
        <f>+'[23]Appendix2 1617 Feeder'!G16</f>
        <v>0</v>
      </c>
      <c r="H31" s="42">
        <f>+'[23]Appendix2 1617 Feeder'!H16</f>
        <v>0</v>
      </c>
      <c r="I31" s="40">
        <f t="shared" si="10"/>
        <v>57.80099999999999</v>
      </c>
      <c r="J31" s="80">
        <f t="shared" si="9"/>
        <v>0</v>
      </c>
    </row>
    <row r="32" spans="1:10" ht="12.75">
      <c r="A32" s="10" t="s">
        <v>12</v>
      </c>
      <c r="B32" s="41">
        <f>'2015-16'!J32</f>
        <v>66.025</v>
      </c>
      <c r="C32" s="42">
        <f>+'[23]Appendix2 1617 Feeder'!C17</f>
        <v>0</v>
      </c>
      <c r="D32" s="42">
        <f>+'[23]Appendix2 1617 Feeder'!D17</f>
        <v>0</v>
      </c>
      <c r="E32" s="42">
        <f>+'[23]Appendix2 1617 Feeder'!E17</f>
        <v>0</v>
      </c>
      <c r="F32" s="42">
        <f>+'[23]Appendix2 1617 Feeder'!F17</f>
        <v>0</v>
      </c>
      <c r="G32" s="42">
        <f>+'[23]Appendix2 1617 Feeder'!G17</f>
        <v>0</v>
      </c>
      <c r="H32" s="42">
        <f>+'[23]Appendix2 1617 Feeder'!H17</f>
        <v>0</v>
      </c>
      <c r="I32" s="40">
        <f t="shared" si="10"/>
        <v>66.025</v>
      </c>
      <c r="J32" s="80">
        <f t="shared" si="9"/>
        <v>0</v>
      </c>
    </row>
    <row r="33" spans="1:10" ht="12.75">
      <c r="A33" s="10" t="s">
        <v>8</v>
      </c>
      <c r="B33" s="41">
        <f>'2015-16'!J33</f>
        <v>303.389</v>
      </c>
      <c r="C33" s="42">
        <f>+'[23]Appendix2 1617 Feeder'!C18</f>
        <v>0</v>
      </c>
      <c r="D33" s="42">
        <f>+'[23]Appendix2 1617 Feeder'!D18</f>
        <v>0</v>
      </c>
      <c r="E33" s="42">
        <f>+'[23]Appendix2 1617 Feeder'!E18</f>
        <v>0</v>
      </c>
      <c r="F33" s="42">
        <f>+'[23]Appendix2 1617 Feeder'!F18</f>
        <v>0</v>
      </c>
      <c r="G33" s="42">
        <f>+'[23]Appendix2 1617 Feeder'!G18</f>
        <v>0</v>
      </c>
      <c r="H33" s="42">
        <f>+'[23]Appendix2 1617 Feeder'!H18</f>
        <v>0</v>
      </c>
      <c r="I33" s="40">
        <f t="shared" si="10"/>
        <v>303.389</v>
      </c>
      <c r="J33" s="80">
        <f t="shared" si="9"/>
        <v>0</v>
      </c>
    </row>
    <row r="34" spans="1:10" ht="12.75">
      <c r="A34" s="10" t="s">
        <v>13</v>
      </c>
      <c r="B34" s="41">
        <f>'2015-16'!J34</f>
        <v>65.68299999999999</v>
      </c>
      <c r="C34" s="42">
        <f>+'[23]Appendix2 1617 Feeder'!C19</f>
        <v>0</v>
      </c>
      <c r="D34" s="42">
        <f>+'[23]Appendix2 1617 Feeder'!D19</f>
        <v>0</v>
      </c>
      <c r="E34" s="42">
        <f>+'[23]Appendix2 1617 Feeder'!E19</f>
        <v>0</v>
      </c>
      <c r="F34" s="42">
        <f>+'[23]Appendix2 1617 Feeder'!F19</f>
        <v>0</v>
      </c>
      <c r="G34" s="42">
        <f>+'[23]Appendix2 1617 Feeder'!G19</f>
        <v>0</v>
      </c>
      <c r="H34" s="42">
        <f>+'[23]Appendix2 1617 Feeder'!H19</f>
        <v>0</v>
      </c>
      <c r="I34" s="40">
        <f t="shared" si="10"/>
        <v>65.68299999999999</v>
      </c>
      <c r="J34" s="80">
        <f t="shared" si="9"/>
        <v>0</v>
      </c>
    </row>
    <row r="35" spans="1:10" ht="12.75">
      <c r="A35" s="10" t="s">
        <v>147</v>
      </c>
      <c r="B35" s="41">
        <f>'2015-16'!J35</f>
        <v>253.79500000000002</v>
      </c>
      <c r="C35" s="42">
        <f>+'[23]Appendix2 1617 Feeder'!C20</f>
        <v>0</v>
      </c>
      <c r="D35" s="42">
        <f>+'[23]Appendix2 1617 Feeder'!D20</f>
        <v>0</v>
      </c>
      <c r="E35" s="42">
        <f>+'[23]Appendix2 1617 Feeder'!E20</f>
        <v>0</v>
      </c>
      <c r="F35" s="42">
        <f>+'[23]Appendix2 1617 Feeder'!F20</f>
        <v>0</v>
      </c>
      <c r="G35" s="42">
        <f>+'[23]Appendix2 1617 Feeder'!G20</f>
        <v>0</v>
      </c>
      <c r="H35" s="42">
        <f>+'[23]Appendix2 1617 Feeder'!H20</f>
        <v>0</v>
      </c>
      <c r="I35" s="40">
        <f t="shared" si="10"/>
        <v>253.79500000000002</v>
      </c>
      <c r="J35" s="80">
        <f t="shared" si="9"/>
        <v>0</v>
      </c>
    </row>
    <row r="36" spans="1:10" ht="12.75">
      <c r="A36" s="10"/>
      <c r="B36" s="41"/>
      <c r="C36" s="42"/>
      <c r="D36" s="42"/>
      <c r="E36" s="42"/>
      <c r="F36" s="42"/>
      <c r="G36" s="42"/>
      <c r="H36" s="42"/>
      <c r="I36" s="40"/>
      <c r="J36" s="80"/>
    </row>
    <row r="37" spans="1:10" ht="12.75">
      <c r="A37" s="26" t="s">
        <v>152</v>
      </c>
      <c r="B37" s="36">
        <f aca="true" t="shared" si="11" ref="B37:I37">+SUM(B38:B40)</f>
        <v>3031.9380280924997</v>
      </c>
      <c r="C37" s="38">
        <f t="shared" si="11"/>
        <v>0</v>
      </c>
      <c r="D37" s="38">
        <f t="shared" si="11"/>
        <v>0</v>
      </c>
      <c r="E37" s="38">
        <f t="shared" si="11"/>
        <v>0</v>
      </c>
      <c r="F37" s="38">
        <f t="shared" si="11"/>
        <v>0</v>
      </c>
      <c r="G37" s="38">
        <f t="shared" si="11"/>
        <v>0</v>
      </c>
      <c r="H37" s="38">
        <f t="shared" si="11"/>
        <v>0</v>
      </c>
      <c r="I37" s="38">
        <f t="shared" si="11"/>
        <v>3031.9380280924997</v>
      </c>
      <c r="J37" s="79">
        <f>+(I37-B37)/B37</f>
        <v>0</v>
      </c>
    </row>
    <row r="38" spans="1:10" ht="12.75">
      <c r="A38" s="11" t="s">
        <v>57</v>
      </c>
      <c r="B38" s="41">
        <f>'2015-16'!J38</f>
        <v>123.131</v>
      </c>
      <c r="C38" s="42">
        <f>'[20]Appendix2 1617 Feeder'!C15</f>
        <v>0</v>
      </c>
      <c r="D38" s="42">
        <f>'[20]Appendix2 1617 Feeder'!D15</f>
        <v>0</v>
      </c>
      <c r="E38" s="42">
        <f>'[20]Appendix2 1617 Feeder'!E15</f>
        <v>0</v>
      </c>
      <c r="F38" s="42">
        <f>'[20]Appendix2 1617 Feeder'!F15</f>
        <v>0</v>
      </c>
      <c r="G38" s="42">
        <f>'[20]Appendix2 1617 Feeder'!G15</f>
        <v>0</v>
      </c>
      <c r="H38" s="42">
        <f>'[20]Appendix2 1617 Feeder'!H15</f>
        <v>0</v>
      </c>
      <c r="I38" s="40">
        <f>+B38+SUM(C38:H38)</f>
        <v>123.131</v>
      </c>
      <c r="J38" s="80">
        <f>+(I38-B38)/B38</f>
        <v>0</v>
      </c>
    </row>
    <row r="39" spans="1:10" ht="12.75">
      <c r="A39" s="11" t="s">
        <v>58</v>
      </c>
      <c r="B39" s="41">
        <f>'2015-16'!J39</f>
        <v>2811.3290280925</v>
      </c>
      <c r="C39" s="42">
        <f>'[20]Appendix2 1617 Feeder'!C16</f>
        <v>0</v>
      </c>
      <c r="D39" s="42">
        <f>'[20]Appendix2 1617 Feeder'!D16</f>
        <v>0</v>
      </c>
      <c r="E39" s="42">
        <f>'[20]Appendix2 1617 Feeder'!E16</f>
        <v>0</v>
      </c>
      <c r="F39" s="42">
        <f>'[20]Appendix2 1617 Feeder'!F16</f>
        <v>0</v>
      </c>
      <c r="G39" s="42">
        <f>'[20]Appendix2 1617 Feeder'!G16</f>
        <v>0</v>
      </c>
      <c r="H39" s="42">
        <f>'[20]Appendix2 1617 Feeder'!H16</f>
        <v>0</v>
      </c>
      <c r="I39" s="40">
        <f>+B39+SUM(C39:H39)</f>
        <v>2811.3290280925</v>
      </c>
      <c r="J39" s="79">
        <f>+(I39-B39)/B39</f>
        <v>0</v>
      </c>
    </row>
    <row r="40" spans="1:10" ht="12.75">
      <c r="A40" s="11" t="s">
        <v>84</v>
      </c>
      <c r="B40" s="41">
        <f>'2015-16'!J40</f>
        <v>97.478</v>
      </c>
      <c r="C40" s="42">
        <f>'[20]Appendix2 1617 Feeder'!C17</f>
        <v>0</v>
      </c>
      <c r="D40" s="42">
        <f>'[20]Appendix2 1617 Feeder'!D17</f>
        <v>0</v>
      </c>
      <c r="E40" s="42">
        <f>'[20]Appendix2 1617 Feeder'!E17</f>
        <v>0</v>
      </c>
      <c r="F40" s="42">
        <f>'[20]Appendix2 1617 Feeder'!F17</f>
        <v>0</v>
      </c>
      <c r="G40" s="42">
        <f>'[20]Appendix2 1617 Feeder'!G17</f>
        <v>0</v>
      </c>
      <c r="H40" s="42">
        <f>'[20]Appendix2 1617 Feeder'!H17</f>
        <v>0</v>
      </c>
      <c r="I40" s="40">
        <f>+B40+SUM(C40:H40)</f>
        <v>97.478</v>
      </c>
      <c r="J40" s="79">
        <f>+(I40-B40)/B40</f>
        <v>0</v>
      </c>
    </row>
    <row r="41" spans="1:10" ht="12.75">
      <c r="A41" s="11"/>
      <c r="B41" s="41"/>
      <c r="C41" s="42"/>
      <c r="D41" s="42"/>
      <c r="E41" s="42"/>
      <c r="F41" s="42"/>
      <c r="G41" s="42"/>
      <c r="H41" s="42"/>
      <c r="I41" s="40"/>
      <c r="J41" s="79"/>
    </row>
    <row r="42" spans="1:10" ht="12.75">
      <c r="A42" s="26" t="s">
        <v>148</v>
      </c>
      <c r="B42" s="36">
        <f aca="true" t="shared" si="12" ref="B42:I42">SUM(B43:B47)</f>
        <v>1973.91</v>
      </c>
      <c r="C42" s="37">
        <f t="shared" si="12"/>
        <v>0</v>
      </c>
      <c r="D42" s="37">
        <f t="shared" si="12"/>
        <v>0</v>
      </c>
      <c r="E42" s="37">
        <f t="shared" si="12"/>
        <v>-10</v>
      </c>
      <c r="F42" s="37">
        <f t="shared" si="12"/>
        <v>0</v>
      </c>
      <c r="G42" s="37">
        <f t="shared" si="12"/>
        <v>0</v>
      </c>
      <c r="H42" s="37">
        <f t="shared" si="12"/>
        <v>0</v>
      </c>
      <c r="I42" s="37">
        <f t="shared" si="12"/>
        <v>1963.91</v>
      </c>
      <c r="J42" s="79">
        <f aca="true" t="shared" si="13" ref="J42:J47">+(I42-B42)/B42</f>
        <v>-0.005066087106301706</v>
      </c>
    </row>
    <row r="43" spans="1:10" ht="12.75">
      <c r="A43" s="83" t="s">
        <v>149</v>
      </c>
      <c r="B43" s="41">
        <f>'2015-16'!J43</f>
        <v>81.68299999999999</v>
      </c>
      <c r="C43" s="42">
        <f>'[19]Appendix2 1617 Feeder'!C15</f>
        <v>0</v>
      </c>
      <c r="D43" s="42">
        <f>'[19]Appendix2 1617 Feeder'!D15</f>
        <v>0</v>
      </c>
      <c r="E43" s="42">
        <f>'[19]Appendix2 1617 Feeder'!E15</f>
        <v>-10</v>
      </c>
      <c r="F43" s="42">
        <f>'[19]Appendix2 1617 Feeder'!F15</f>
        <v>0</v>
      </c>
      <c r="G43" s="42">
        <f>'[19]Appendix2 1617 Feeder'!G15</f>
        <v>0</v>
      </c>
      <c r="H43" s="42">
        <f>'[19]Appendix2 1617 Feeder'!H15</f>
        <v>0</v>
      </c>
      <c r="I43" s="40">
        <f>+B43+SUM(C43:H43)</f>
        <v>71.68299999999999</v>
      </c>
      <c r="J43" s="80">
        <f t="shared" si="13"/>
        <v>-0.12242449469289816</v>
      </c>
    </row>
    <row r="44" spans="1:10" ht="12.75">
      <c r="A44" s="83" t="s">
        <v>150</v>
      </c>
      <c r="B44" s="41">
        <f>'2015-16'!J44</f>
        <v>-67.002</v>
      </c>
      <c r="C44" s="42">
        <f>'[19]Appendix2 1617 Feeder'!C16</f>
        <v>0</v>
      </c>
      <c r="D44" s="42">
        <f>'[19]Appendix2 1617 Feeder'!D16</f>
        <v>0</v>
      </c>
      <c r="E44" s="42">
        <f>'[19]Appendix2 1617 Feeder'!E16</f>
        <v>0</v>
      </c>
      <c r="F44" s="42">
        <f>'[19]Appendix2 1617 Feeder'!F16</f>
        <v>0</v>
      </c>
      <c r="G44" s="42">
        <f>'[19]Appendix2 1617 Feeder'!G16</f>
        <v>0</v>
      </c>
      <c r="H44" s="42">
        <f>'[19]Appendix2 1617 Feeder'!H16</f>
        <v>0</v>
      </c>
      <c r="I44" s="40">
        <f>+B44+SUM(C44:H44)</f>
        <v>-67.002</v>
      </c>
      <c r="J44" s="80">
        <f t="shared" si="13"/>
        <v>0</v>
      </c>
    </row>
    <row r="45" spans="1:10" ht="12.75">
      <c r="A45" s="83" t="s">
        <v>151</v>
      </c>
      <c r="B45" s="41">
        <f>'2015-16'!J45</f>
        <v>1645.609</v>
      </c>
      <c r="C45" s="42">
        <f>'[19]Appendix2 1617 Feeder'!C17</f>
        <v>0</v>
      </c>
      <c r="D45" s="42">
        <f>'[19]Appendix2 1617 Feeder'!D17</f>
        <v>0</v>
      </c>
      <c r="E45" s="42">
        <f>'[19]Appendix2 1617 Feeder'!E17</f>
        <v>0</v>
      </c>
      <c r="F45" s="42">
        <f>'[19]Appendix2 1617 Feeder'!F17</f>
        <v>0</v>
      </c>
      <c r="G45" s="42">
        <f>'[19]Appendix2 1617 Feeder'!G17</f>
        <v>0</v>
      </c>
      <c r="H45" s="42">
        <f>'[19]Appendix2 1617 Feeder'!H17</f>
        <v>0</v>
      </c>
      <c r="I45" s="40">
        <f>+B45+SUM(C45:H45)</f>
        <v>1645.609</v>
      </c>
      <c r="J45" s="80">
        <f t="shared" si="13"/>
        <v>0</v>
      </c>
    </row>
    <row r="46" spans="1:10" ht="12.75">
      <c r="A46" s="83" t="s">
        <v>107</v>
      </c>
      <c r="B46" s="41">
        <f>'2015-16'!J46</f>
        <v>91.179</v>
      </c>
      <c r="C46" s="42">
        <f>'[19]Appendix2 1617 Feeder'!C18</f>
        <v>0</v>
      </c>
      <c r="D46" s="42">
        <f>'[19]Appendix2 1617 Feeder'!D18</f>
        <v>0</v>
      </c>
      <c r="E46" s="42">
        <f>'[19]Appendix2 1617 Feeder'!E18</f>
        <v>0</v>
      </c>
      <c r="F46" s="42">
        <f>'[19]Appendix2 1617 Feeder'!F18</f>
        <v>0</v>
      </c>
      <c r="G46" s="42">
        <f>'[19]Appendix2 1617 Feeder'!G18</f>
        <v>0</v>
      </c>
      <c r="H46" s="42">
        <f>'[19]Appendix2 1617 Feeder'!H18</f>
        <v>0</v>
      </c>
      <c r="I46" s="40">
        <f>+B46+SUM(C46:H46)</f>
        <v>91.179</v>
      </c>
      <c r="J46" s="80">
        <f t="shared" si="13"/>
        <v>0</v>
      </c>
    </row>
    <row r="47" spans="1:10" ht="12.75">
      <c r="A47" s="83" t="s">
        <v>148</v>
      </c>
      <c r="B47" s="41">
        <f>'2015-16'!J47</f>
        <v>222.441</v>
      </c>
      <c r="C47" s="42">
        <f>'[19]Appendix2 1617 Feeder'!C19</f>
        <v>0</v>
      </c>
      <c r="D47" s="42">
        <f>'[19]Appendix2 1617 Feeder'!D19</f>
        <v>0</v>
      </c>
      <c r="E47" s="42">
        <f>'[19]Appendix2 1617 Feeder'!E19</f>
        <v>0</v>
      </c>
      <c r="F47" s="42">
        <f>'[19]Appendix2 1617 Feeder'!F19</f>
        <v>0</v>
      </c>
      <c r="G47" s="42">
        <f>'[19]Appendix2 1617 Feeder'!G19</f>
        <v>0</v>
      </c>
      <c r="H47" s="42">
        <f>'[19]Appendix2 1617 Feeder'!H19</f>
        <v>0</v>
      </c>
      <c r="I47" s="40">
        <f>+B47+SUM(C47:H47)</f>
        <v>222.441</v>
      </c>
      <c r="J47" s="80">
        <f t="shared" si="13"/>
        <v>0</v>
      </c>
    </row>
    <row r="48" spans="1:10" ht="12.75">
      <c r="A48" s="83"/>
      <c r="B48" s="39"/>
      <c r="C48" s="40"/>
      <c r="D48" s="40"/>
      <c r="E48" s="40"/>
      <c r="F48" s="40"/>
      <c r="G48" s="40"/>
      <c r="H48" s="40"/>
      <c r="I48" s="40"/>
      <c r="J48" s="16"/>
    </row>
    <row r="49" spans="1:10" ht="12.75">
      <c r="A49" s="31" t="s">
        <v>29</v>
      </c>
      <c r="B49" s="36">
        <f aca="true" t="shared" si="14" ref="B49:I49">+B51+B58+B70+B76</f>
        <v>4539.394399999999</v>
      </c>
      <c r="C49" s="37">
        <f t="shared" si="14"/>
        <v>69.856</v>
      </c>
      <c r="D49" s="37">
        <f t="shared" si="14"/>
        <v>0</v>
      </c>
      <c r="E49" s="37">
        <f t="shared" si="14"/>
        <v>-149.52800000000002</v>
      </c>
      <c r="F49" s="37">
        <f t="shared" si="14"/>
        <v>-35</v>
      </c>
      <c r="G49" s="37">
        <f t="shared" si="14"/>
        <v>-333.27049999999997</v>
      </c>
      <c r="H49" s="37">
        <f t="shared" si="14"/>
        <v>0</v>
      </c>
      <c r="I49" s="37">
        <f t="shared" si="14"/>
        <v>4091.451899999999</v>
      </c>
      <c r="J49" s="79">
        <f>+(I49-B49)/B49</f>
        <v>-0.0986789118830477</v>
      </c>
    </row>
    <row r="50" spans="1:10" ht="12.75">
      <c r="A50" s="27"/>
      <c r="B50" s="47"/>
      <c r="C50" s="48"/>
      <c r="D50" s="48"/>
      <c r="E50" s="48"/>
      <c r="F50" s="48"/>
      <c r="G50" s="48"/>
      <c r="H50" s="48"/>
      <c r="I50" s="48"/>
      <c r="J50" s="16"/>
    </row>
    <row r="51" spans="1:10" ht="12.75">
      <c r="A51" s="26" t="s">
        <v>30</v>
      </c>
      <c r="B51" s="36">
        <f aca="true" t="shared" si="15" ref="B51:I51">+SUM(B52:B56)</f>
        <v>1295.9049999999997</v>
      </c>
      <c r="C51" s="38">
        <f t="shared" si="15"/>
        <v>0</v>
      </c>
      <c r="D51" s="38">
        <f t="shared" si="15"/>
        <v>0</v>
      </c>
      <c r="E51" s="38">
        <f t="shared" si="15"/>
        <v>-30</v>
      </c>
      <c r="F51" s="38">
        <f t="shared" si="15"/>
        <v>0</v>
      </c>
      <c r="G51" s="38">
        <f t="shared" si="15"/>
        <v>0</v>
      </c>
      <c r="H51" s="38">
        <f t="shared" si="15"/>
        <v>0</v>
      </c>
      <c r="I51" s="38">
        <f t="shared" si="15"/>
        <v>1265.9049999999997</v>
      </c>
      <c r="J51" s="79">
        <f aca="true" t="shared" si="16" ref="J51:J56">+(I51-B51)/B51</f>
        <v>-0.023149845088953284</v>
      </c>
    </row>
    <row r="52" spans="1:10" ht="12.75">
      <c r="A52" s="10" t="s">
        <v>31</v>
      </c>
      <c r="B52" s="41">
        <f>'2015-16'!J52</f>
        <v>531.76</v>
      </c>
      <c r="C52" s="42">
        <f>'[18]Appendix2 1617 Feeder'!C15</f>
        <v>0</v>
      </c>
      <c r="D52" s="42">
        <f>'[18]Appendix2 1617 Feeder'!D15</f>
        <v>0</v>
      </c>
      <c r="E52" s="42">
        <f>'[18]Appendix2 1617 Feeder'!E15</f>
        <v>0</v>
      </c>
      <c r="F52" s="42">
        <f>'[18]Appendix2 1617 Feeder'!F15</f>
        <v>0</v>
      </c>
      <c r="G52" s="42">
        <f>'[18]Appendix2 1617 Feeder'!G15</f>
        <v>0</v>
      </c>
      <c r="H52" s="42">
        <f>'[18]Appendix2 1617 Feeder'!H15</f>
        <v>0</v>
      </c>
      <c r="I52" s="40">
        <f>+B52+SUM(C52:H52)</f>
        <v>531.76</v>
      </c>
      <c r="J52" s="80">
        <f t="shared" si="16"/>
        <v>0</v>
      </c>
    </row>
    <row r="53" spans="1:10" ht="12.75">
      <c r="A53" s="10" t="s">
        <v>32</v>
      </c>
      <c r="B53" s="41">
        <f>'2015-16'!J53</f>
        <v>496.77199999999993</v>
      </c>
      <c r="C53" s="42">
        <f>'[18]Appendix2 1617 Feeder'!C16</f>
        <v>0</v>
      </c>
      <c r="D53" s="42">
        <f>'[18]Appendix2 1617 Feeder'!D16</f>
        <v>0</v>
      </c>
      <c r="E53" s="42">
        <f>'[18]Appendix2 1617 Feeder'!E16</f>
        <v>0</v>
      </c>
      <c r="F53" s="42">
        <f>'[18]Appendix2 1617 Feeder'!F16</f>
        <v>0</v>
      </c>
      <c r="G53" s="42">
        <f>'[18]Appendix2 1617 Feeder'!G16</f>
        <v>0</v>
      </c>
      <c r="H53" s="42">
        <f>'[18]Appendix2 1617 Feeder'!H16</f>
        <v>0</v>
      </c>
      <c r="I53" s="40">
        <f>+B53+SUM(C53:H53)</f>
        <v>496.77199999999993</v>
      </c>
      <c r="J53" s="80">
        <f t="shared" si="16"/>
        <v>0</v>
      </c>
    </row>
    <row r="54" spans="1:10" ht="12.75">
      <c r="A54" s="10" t="s">
        <v>33</v>
      </c>
      <c r="B54" s="41">
        <f>'2015-16'!J54</f>
        <v>700.1379999999999</v>
      </c>
      <c r="C54" s="42">
        <f>'[18]Appendix2 1617 Feeder'!C17</f>
        <v>0</v>
      </c>
      <c r="D54" s="42">
        <f>'[18]Appendix2 1617 Feeder'!D17</f>
        <v>0</v>
      </c>
      <c r="E54" s="42">
        <f>'[18]Appendix2 1617 Feeder'!E17</f>
        <v>0</v>
      </c>
      <c r="F54" s="42">
        <f>'[18]Appendix2 1617 Feeder'!F17</f>
        <v>0</v>
      </c>
      <c r="G54" s="42">
        <f>'[18]Appendix2 1617 Feeder'!G17</f>
        <v>0</v>
      </c>
      <c r="H54" s="42">
        <f>'[18]Appendix2 1617 Feeder'!H17</f>
        <v>0</v>
      </c>
      <c r="I54" s="40">
        <f>+B54+SUM(C54:H54)</f>
        <v>700.1379999999999</v>
      </c>
      <c r="J54" s="80">
        <f t="shared" si="16"/>
        <v>0</v>
      </c>
    </row>
    <row r="55" spans="1:10" ht="12.75">
      <c r="A55" s="27" t="s">
        <v>113</v>
      </c>
      <c r="B55" s="41">
        <f>'2015-16'!J55</f>
        <v>-552.979</v>
      </c>
      <c r="C55" s="42">
        <f>'[18]Appendix2 1617 Feeder'!C18</f>
        <v>0</v>
      </c>
      <c r="D55" s="42">
        <f>'[18]Appendix2 1617 Feeder'!D18</f>
        <v>0</v>
      </c>
      <c r="E55" s="42">
        <f>'[18]Appendix2 1617 Feeder'!E18</f>
        <v>0</v>
      </c>
      <c r="F55" s="42">
        <f>'[18]Appendix2 1617 Feeder'!F18</f>
        <v>0</v>
      </c>
      <c r="G55" s="42">
        <f>'[18]Appendix2 1617 Feeder'!G18</f>
        <v>0</v>
      </c>
      <c r="H55" s="42">
        <f>'[18]Appendix2 1617 Feeder'!H18</f>
        <v>0</v>
      </c>
      <c r="I55" s="40">
        <f>+B55+SUM(C55:H55)</f>
        <v>-552.979</v>
      </c>
      <c r="J55" s="80">
        <f t="shared" si="16"/>
        <v>0</v>
      </c>
    </row>
    <row r="56" spans="1:10" ht="12.75">
      <c r="A56" s="10" t="s">
        <v>34</v>
      </c>
      <c r="B56" s="41">
        <f>'2015-16'!J56</f>
        <v>120.214</v>
      </c>
      <c r="C56" s="42">
        <f>'[18]Appendix2 1617 Feeder'!C19</f>
        <v>0</v>
      </c>
      <c r="D56" s="42">
        <f>'[18]Appendix2 1617 Feeder'!D19</f>
        <v>0</v>
      </c>
      <c r="E56" s="42">
        <f>'[18]Appendix2 1617 Feeder'!E19</f>
        <v>-30</v>
      </c>
      <c r="F56" s="42">
        <f>'[18]Appendix2 1617 Feeder'!F19</f>
        <v>0</v>
      </c>
      <c r="G56" s="42">
        <f>'[18]Appendix2 1617 Feeder'!G19</f>
        <v>0</v>
      </c>
      <c r="H56" s="42">
        <f>'[18]Appendix2 1617 Feeder'!H19</f>
        <v>0</v>
      </c>
      <c r="I56" s="40">
        <f>+B56+SUM(C56:H56)</f>
        <v>90.214</v>
      </c>
      <c r="J56" s="80">
        <f t="shared" si="16"/>
        <v>-0.2495549603207613</v>
      </c>
    </row>
    <row r="57" spans="1:10" ht="12.75">
      <c r="A57" s="27"/>
      <c r="B57" s="47"/>
      <c r="C57" s="48"/>
      <c r="D57" s="48"/>
      <c r="E57" s="48"/>
      <c r="F57" s="48"/>
      <c r="G57" s="48"/>
      <c r="H57" s="48"/>
      <c r="I57" s="48"/>
      <c r="J57" s="16"/>
    </row>
    <row r="58" spans="1:10" ht="12.75">
      <c r="A58" s="26" t="s">
        <v>138</v>
      </c>
      <c r="B58" s="36">
        <f aca="true" t="shared" si="17" ref="B58:I58">+SUM(B59:B68)</f>
        <v>-2384.6070000000004</v>
      </c>
      <c r="C58" s="37">
        <f t="shared" si="17"/>
        <v>66.856</v>
      </c>
      <c r="D58" s="37">
        <f t="shared" si="17"/>
        <v>0</v>
      </c>
      <c r="E58" s="37">
        <f t="shared" si="17"/>
        <v>-25</v>
      </c>
      <c r="F58" s="37">
        <f t="shared" si="17"/>
        <v>0</v>
      </c>
      <c r="G58" s="37">
        <f t="shared" si="17"/>
        <v>-333.27049999999997</v>
      </c>
      <c r="H58" s="37">
        <f t="shared" si="17"/>
        <v>0</v>
      </c>
      <c r="I58" s="37">
        <f t="shared" si="17"/>
        <v>-2676.0215000000003</v>
      </c>
      <c r="J58" s="79">
        <f aca="true" t="shared" si="18" ref="J58:J68">+(I58-B58)/B58</f>
        <v>0.12220651033902015</v>
      </c>
    </row>
    <row r="59" spans="1:10" ht="12.75">
      <c r="A59" s="84" t="s">
        <v>160</v>
      </c>
      <c r="B59" s="41">
        <f>'2015-16'!J59</f>
        <v>-1941.4759999999999</v>
      </c>
      <c r="C59" s="42">
        <f>+'[25]Appendix2 1617 Feeder'!C15</f>
        <v>37.885</v>
      </c>
      <c r="D59" s="42">
        <f>+'[25]Appendix2 1617 Feeder'!D15</f>
        <v>0</v>
      </c>
      <c r="E59" s="42">
        <f>+'[25]Appendix2 1617 Feeder'!E15</f>
        <v>0</v>
      </c>
      <c r="F59" s="42">
        <f>+'[25]Appendix2 1617 Feeder'!F15</f>
        <v>0</v>
      </c>
      <c r="G59" s="42">
        <f>+'[25]Appendix2 1617 Feeder'!G15</f>
        <v>-75.25</v>
      </c>
      <c r="H59" s="42">
        <f>+'[25]Appendix2 1617 Feeder'!H15</f>
        <v>0</v>
      </c>
      <c r="I59" s="40">
        <f aca="true" t="shared" si="19" ref="I59:I68">+B59+SUM(C59:H59)</f>
        <v>-1978.841</v>
      </c>
      <c r="J59" s="80">
        <f t="shared" si="18"/>
        <v>0.019245666698944522</v>
      </c>
    </row>
    <row r="60" spans="1:10" ht="12.75">
      <c r="A60" s="84" t="s">
        <v>153</v>
      </c>
      <c r="B60" s="41">
        <f>'2015-16'!J60</f>
        <v>-4764.119</v>
      </c>
      <c r="C60" s="42">
        <f>+'[25]Appendix2 1617 Feeder'!C16</f>
        <v>0</v>
      </c>
      <c r="D60" s="42">
        <f>+'[25]Appendix2 1617 Feeder'!D16</f>
        <v>0</v>
      </c>
      <c r="E60" s="42">
        <f>+'[25]Appendix2 1617 Feeder'!E16</f>
        <v>0</v>
      </c>
      <c r="F60" s="42">
        <f>+'[25]Appendix2 1617 Feeder'!F16</f>
        <v>0</v>
      </c>
      <c r="G60" s="42">
        <f>+'[25]Appendix2 1617 Feeder'!G16</f>
        <v>-66.3065</v>
      </c>
      <c r="H60" s="42">
        <f>+'[25]Appendix2 1617 Feeder'!H16</f>
        <v>0</v>
      </c>
      <c r="I60" s="40">
        <f t="shared" si="19"/>
        <v>-4830.425499999999</v>
      </c>
      <c r="J60" s="80">
        <f t="shared" si="18"/>
        <v>0.013917893318785634</v>
      </c>
    </row>
    <row r="61" spans="1:10" ht="12.75">
      <c r="A61" s="84" t="s">
        <v>154</v>
      </c>
      <c r="B61" s="41">
        <f>'2015-16'!J61</f>
        <v>2824.948</v>
      </c>
      <c r="C61" s="42">
        <f>+'[25]Appendix2 1617 Feeder'!C17</f>
        <v>0</v>
      </c>
      <c r="D61" s="42">
        <f>+'[25]Appendix2 1617 Feeder'!D17</f>
        <v>0</v>
      </c>
      <c r="E61" s="42">
        <f>+'[25]Appendix2 1617 Feeder'!E17</f>
        <v>0</v>
      </c>
      <c r="F61" s="42">
        <f>+'[25]Appendix2 1617 Feeder'!F17</f>
        <v>0</v>
      </c>
      <c r="G61" s="42">
        <f>+'[25]Appendix2 1617 Feeder'!G17</f>
        <v>-16.714</v>
      </c>
      <c r="H61" s="42">
        <f>+'[25]Appendix2 1617 Feeder'!H17</f>
        <v>0</v>
      </c>
      <c r="I61" s="40">
        <f t="shared" si="19"/>
        <v>2808.234</v>
      </c>
      <c r="J61" s="80">
        <f t="shared" si="18"/>
        <v>-0.005916569083749486</v>
      </c>
    </row>
    <row r="62" spans="1:10" ht="12.75">
      <c r="A62" s="84" t="s">
        <v>155</v>
      </c>
      <c r="B62" s="41">
        <f>'2015-16'!J62</f>
        <v>-1362.603</v>
      </c>
      <c r="C62" s="42">
        <f>+'[25]Appendix2 1617 Feeder'!C18</f>
        <v>0</v>
      </c>
      <c r="D62" s="42">
        <f>+'[25]Appendix2 1617 Feeder'!D18</f>
        <v>0</v>
      </c>
      <c r="E62" s="42">
        <f>+'[25]Appendix2 1617 Feeder'!E18</f>
        <v>0</v>
      </c>
      <c r="F62" s="42">
        <f>+'[25]Appendix2 1617 Feeder'!F18</f>
        <v>0</v>
      </c>
      <c r="G62" s="42">
        <f>+'[25]Appendix2 1617 Feeder'!G18</f>
        <v>0</v>
      </c>
      <c r="H62" s="42">
        <f>+'[25]Appendix2 1617 Feeder'!H18</f>
        <v>0</v>
      </c>
      <c r="I62" s="40">
        <f t="shared" si="19"/>
        <v>-1362.603</v>
      </c>
      <c r="J62" s="80">
        <f t="shared" si="18"/>
        <v>0</v>
      </c>
    </row>
    <row r="63" spans="1:10" ht="12.75">
      <c r="A63" s="84" t="s">
        <v>96</v>
      </c>
      <c r="B63" s="41">
        <f>'2015-16'!J63</f>
        <v>-398.653</v>
      </c>
      <c r="C63" s="42">
        <f>+'[25]Appendix2 1617 Feeder'!C19</f>
        <v>0</v>
      </c>
      <c r="D63" s="42">
        <f>+'[25]Appendix2 1617 Feeder'!D19</f>
        <v>0</v>
      </c>
      <c r="E63" s="42">
        <f>+'[25]Appendix2 1617 Feeder'!E19</f>
        <v>0</v>
      </c>
      <c r="F63" s="42">
        <f>+'[25]Appendix2 1617 Feeder'!F19</f>
        <v>0</v>
      </c>
      <c r="G63" s="42">
        <f>+'[25]Appendix2 1617 Feeder'!G19</f>
        <v>-20</v>
      </c>
      <c r="H63" s="42">
        <f>+'[25]Appendix2 1617 Feeder'!H19</f>
        <v>0</v>
      </c>
      <c r="I63" s="40">
        <f t="shared" si="19"/>
        <v>-418.653</v>
      </c>
      <c r="J63" s="80">
        <f t="shared" si="18"/>
        <v>0.050168943918646035</v>
      </c>
    </row>
    <row r="64" spans="1:10" ht="12.75">
      <c r="A64" s="84" t="s">
        <v>156</v>
      </c>
      <c r="B64" s="41">
        <f>'2015-16'!J64</f>
        <v>3810.578</v>
      </c>
      <c r="C64" s="42">
        <f>+'[25]Appendix2 1617 Feeder'!C20</f>
        <v>0</v>
      </c>
      <c r="D64" s="42">
        <f>+'[25]Appendix2 1617 Feeder'!D20</f>
        <v>0</v>
      </c>
      <c r="E64" s="42">
        <f>+'[25]Appendix2 1617 Feeder'!E20</f>
        <v>-25</v>
      </c>
      <c r="F64" s="42">
        <f>+'[25]Appendix2 1617 Feeder'!F20</f>
        <v>0</v>
      </c>
      <c r="G64" s="42">
        <f>+'[25]Appendix2 1617 Feeder'!G20</f>
        <v>0</v>
      </c>
      <c r="H64" s="42">
        <f>+'[25]Appendix2 1617 Feeder'!H20</f>
        <v>0</v>
      </c>
      <c r="I64" s="40">
        <f t="shared" si="19"/>
        <v>3785.578</v>
      </c>
      <c r="J64" s="80">
        <f t="shared" si="18"/>
        <v>-0.006560684494583236</v>
      </c>
    </row>
    <row r="65" spans="1:10" ht="12.75">
      <c r="A65" s="84" t="s">
        <v>94</v>
      </c>
      <c r="B65" s="41">
        <f>'2015-16'!J65</f>
        <v>-2024.9039999999998</v>
      </c>
      <c r="C65" s="42">
        <f>+'[25]Appendix2 1617 Feeder'!C21</f>
        <v>28.971</v>
      </c>
      <c r="D65" s="42">
        <f>+'[25]Appendix2 1617 Feeder'!D21</f>
        <v>0</v>
      </c>
      <c r="E65" s="42">
        <f>+'[25]Appendix2 1617 Feeder'!E21</f>
        <v>0</v>
      </c>
      <c r="F65" s="42">
        <f>+'[25]Appendix2 1617 Feeder'!F21</f>
        <v>0</v>
      </c>
      <c r="G65" s="42">
        <f>+'[25]Appendix2 1617 Feeder'!G21</f>
        <v>0</v>
      </c>
      <c r="H65" s="42">
        <f>+'[25]Appendix2 1617 Feeder'!H21</f>
        <v>0</v>
      </c>
      <c r="I65" s="40">
        <f t="shared" si="19"/>
        <v>-1995.9329999999998</v>
      </c>
      <c r="J65" s="80">
        <f t="shared" si="18"/>
        <v>-0.014307344940797197</v>
      </c>
    </row>
    <row r="66" spans="1:10" ht="12.75" customHeight="1">
      <c r="A66" s="84" t="s">
        <v>157</v>
      </c>
      <c r="B66" s="41">
        <f>'2015-16'!J66</f>
        <v>-74.416</v>
      </c>
      <c r="C66" s="42">
        <f>+'[25]Appendix2 1617 Feeder'!C22</f>
        <v>0</v>
      </c>
      <c r="D66" s="42">
        <f>+'[25]Appendix2 1617 Feeder'!D22</f>
        <v>0</v>
      </c>
      <c r="E66" s="42">
        <f>+'[25]Appendix2 1617 Feeder'!E22</f>
        <v>0</v>
      </c>
      <c r="F66" s="42">
        <f>+'[25]Appendix2 1617 Feeder'!F22</f>
        <v>0</v>
      </c>
      <c r="G66" s="42">
        <f>+'[25]Appendix2 1617 Feeder'!G22</f>
        <v>0</v>
      </c>
      <c r="H66" s="42">
        <f>+'[25]Appendix2 1617 Feeder'!H22</f>
        <v>0</v>
      </c>
      <c r="I66" s="40">
        <f t="shared" si="19"/>
        <v>-74.416</v>
      </c>
      <c r="J66" s="80">
        <f t="shared" si="18"/>
        <v>0</v>
      </c>
    </row>
    <row r="67" spans="1:10" ht="12.75" customHeight="1">
      <c r="A67" s="84" t="s">
        <v>158</v>
      </c>
      <c r="B67" s="41">
        <f>'2015-16'!J67</f>
        <v>-147.477</v>
      </c>
      <c r="C67" s="42">
        <f>+'[25]Appendix2 1617 Feeder'!C23</f>
        <v>0</v>
      </c>
      <c r="D67" s="42">
        <f>+'[25]Appendix2 1617 Feeder'!D23</f>
        <v>0</v>
      </c>
      <c r="E67" s="42">
        <f>+'[25]Appendix2 1617 Feeder'!E23</f>
        <v>0</v>
      </c>
      <c r="F67" s="42">
        <f>+'[25]Appendix2 1617 Feeder'!F23</f>
        <v>0</v>
      </c>
      <c r="G67" s="42">
        <f>+'[25]Appendix2 1617 Feeder'!G23</f>
        <v>0</v>
      </c>
      <c r="H67" s="42">
        <f>+'[25]Appendix2 1617 Feeder'!H23</f>
        <v>0</v>
      </c>
      <c r="I67" s="40">
        <f t="shared" si="19"/>
        <v>-147.477</v>
      </c>
      <c r="J67" s="80">
        <f t="shared" si="18"/>
        <v>0</v>
      </c>
    </row>
    <row r="68" spans="1:10" ht="12.75" customHeight="1">
      <c r="A68" s="84" t="s">
        <v>159</v>
      </c>
      <c r="B68" s="41">
        <f>'2015-16'!J68</f>
        <v>1693.5149999999999</v>
      </c>
      <c r="C68" s="42">
        <f>+'[25]Appendix2 1617 Feeder'!C24</f>
        <v>0</v>
      </c>
      <c r="D68" s="42">
        <f>+'[25]Appendix2 1617 Feeder'!D24</f>
        <v>0</v>
      </c>
      <c r="E68" s="42">
        <f>+'[25]Appendix2 1617 Feeder'!E24</f>
        <v>0</v>
      </c>
      <c r="F68" s="42">
        <f>+'[25]Appendix2 1617 Feeder'!F24</f>
        <v>0</v>
      </c>
      <c r="G68" s="42">
        <f>+'[25]Appendix2 1617 Feeder'!G24</f>
        <v>-155</v>
      </c>
      <c r="H68" s="42">
        <f>+'[25]Appendix2 1617 Feeder'!H24</f>
        <v>0</v>
      </c>
      <c r="I68" s="40">
        <f t="shared" si="19"/>
        <v>1538.5149999999999</v>
      </c>
      <c r="J68" s="80">
        <f t="shared" si="18"/>
        <v>-0.09152561388591185</v>
      </c>
    </row>
    <row r="69" spans="1:10" ht="12.75">
      <c r="A69" s="27"/>
      <c r="B69" s="41"/>
      <c r="C69" s="42"/>
      <c r="D69" s="42"/>
      <c r="E69" s="42"/>
      <c r="F69" s="42"/>
      <c r="G69" s="42"/>
      <c r="H69" s="42"/>
      <c r="I69" s="42"/>
      <c r="J69" s="76"/>
    </row>
    <row r="70" spans="1:10" ht="12.75">
      <c r="A70" s="26" t="s">
        <v>21</v>
      </c>
      <c r="B70" s="36">
        <f aca="true" t="shared" si="20" ref="B70:I70">+SUM(B71:B74)</f>
        <v>2617.482</v>
      </c>
      <c r="C70" s="38">
        <f t="shared" si="20"/>
        <v>0</v>
      </c>
      <c r="D70" s="38">
        <f t="shared" si="20"/>
        <v>0</v>
      </c>
      <c r="E70" s="38">
        <f t="shared" si="20"/>
        <v>-65.528</v>
      </c>
      <c r="F70" s="38">
        <f t="shared" si="20"/>
        <v>0</v>
      </c>
      <c r="G70" s="38">
        <f t="shared" si="20"/>
        <v>0</v>
      </c>
      <c r="H70" s="38">
        <f t="shared" si="20"/>
        <v>0</v>
      </c>
      <c r="I70" s="38">
        <f t="shared" si="20"/>
        <v>2551.954</v>
      </c>
      <c r="J70" s="79">
        <f>+(I70-B70)/B70</f>
        <v>-0.025034747134841728</v>
      </c>
    </row>
    <row r="71" spans="1:10" ht="12.75">
      <c r="A71" s="11" t="s">
        <v>21</v>
      </c>
      <c r="B71" s="41">
        <f>'2015-16'!J71</f>
        <v>1894.365</v>
      </c>
      <c r="C71" s="42">
        <f>'[21]Appendix2 1617 Feeder'!C15</f>
        <v>0</v>
      </c>
      <c r="D71" s="42">
        <f>'[21]Appendix2 1617 Feeder'!D15</f>
        <v>0</v>
      </c>
      <c r="E71" s="42">
        <f>'[21]Appendix2 1617 Feeder'!E15</f>
        <v>-65.528</v>
      </c>
      <c r="F71" s="42">
        <f>'[21]Appendix2 1617 Feeder'!F15</f>
        <v>0</v>
      </c>
      <c r="G71" s="42">
        <f>'[21]Appendix2 1617 Feeder'!G15</f>
        <v>0</v>
      </c>
      <c r="H71" s="42">
        <f>'[21]Appendix2 1617 Feeder'!H15</f>
        <v>0</v>
      </c>
      <c r="I71" s="40">
        <f>+B71+SUM(C71:H71)</f>
        <v>1828.837</v>
      </c>
      <c r="J71" s="80">
        <f>+(I71-B71)/B71</f>
        <v>-0.034591010708073695</v>
      </c>
    </row>
    <row r="72" spans="1:10" ht="12.75">
      <c r="A72" s="11" t="s">
        <v>69</v>
      </c>
      <c r="B72" s="41">
        <f>'2015-16'!J72</f>
        <v>201.722</v>
      </c>
      <c r="C72" s="42">
        <f>'[21]Appendix2 1617 Feeder'!C16</f>
        <v>0</v>
      </c>
      <c r="D72" s="42">
        <f>'[21]Appendix2 1617 Feeder'!D16</f>
        <v>0</v>
      </c>
      <c r="E72" s="42">
        <f>'[21]Appendix2 1617 Feeder'!E16</f>
        <v>0</v>
      </c>
      <c r="F72" s="42">
        <f>'[21]Appendix2 1617 Feeder'!F16</f>
        <v>0</v>
      </c>
      <c r="G72" s="42">
        <f>'[21]Appendix2 1617 Feeder'!G16</f>
        <v>0</v>
      </c>
      <c r="H72" s="42">
        <f>'[21]Appendix2 1617 Feeder'!H16</f>
        <v>0</v>
      </c>
      <c r="I72" s="40">
        <f>+B72+SUM(C72:H72)</f>
        <v>201.722</v>
      </c>
      <c r="J72" s="80">
        <f>+(I72-B72)/B72</f>
        <v>0</v>
      </c>
    </row>
    <row r="73" spans="1:10" ht="12.75">
      <c r="A73" s="11" t="s">
        <v>70</v>
      </c>
      <c r="B73" s="41">
        <f>'2015-16'!J73</f>
        <v>514.219</v>
      </c>
      <c r="C73" s="42">
        <f>'[21]Appendix2 1617 Feeder'!C17</f>
        <v>0</v>
      </c>
      <c r="D73" s="42">
        <f>'[21]Appendix2 1617 Feeder'!D17</f>
        <v>0</v>
      </c>
      <c r="E73" s="42">
        <f>'[21]Appendix2 1617 Feeder'!E17</f>
        <v>0</v>
      </c>
      <c r="F73" s="42">
        <f>'[21]Appendix2 1617 Feeder'!F17</f>
        <v>0</v>
      </c>
      <c r="G73" s="42">
        <f>'[21]Appendix2 1617 Feeder'!G17</f>
        <v>0</v>
      </c>
      <c r="H73" s="42">
        <f>'[21]Appendix2 1617 Feeder'!H17</f>
        <v>0</v>
      </c>
      <c r="I73" s="40">
        <f>+B73+SUM(C73:H73)</f>
        <v>514.219</v>
      </c>
      <c r="J73" s="80">
        <f>+(I73-B73)/B73</f>
        <v>0</v>
      </c>
    </row>
    <row r="74" spans="1:10" ht="12.75">
      <c r="A74" s="11" t="s">
        <v>71</v>
      </c>
      <c r="B74" s="41">
        <f>'2015-16'!J74</f>
        <v>7.176</v>
      </c>
      <c r="C74" s="42">
        <f>'[21]Appendix2 1617 Feeder'!C18</f>
        <v>0</v>
      </c>
      <c r="D74" s="42">
        <f>'[21]Appendix2 1617 Feeder'!D18</f>
        <v>0</v>
      </c>
      <c r="E74" s="42">
        <f>'[21]Appendix2 1617 Feeder'!E18</f>
        <v>0</v>
      </c>
      <c r="F74" s="42">
        <f>'[21]Appendix2 1617 Feeder'!F18</f>
        <v>0</v>
      </c>
      <c r="G74" s="42">
        <f>'[21]Appendix2 1617 Feeder'!G18</f>
        <v>0</v>
      </c>
      <c r="H74" s="42">
        <f>'[21]Appendix2 1617 Feeder'!H18</f>
        <v>0</v>
      </c>
      <c r="I74" s="40">
        <f>+B74+SUM(C74:H74)</f>
        <v>7.176</v>
      </c>
      <c r="J74" s="80">
        <f>+(I74-B74)/B74</f>
        <v>0</v>
      </c>
    </row>
    <row r="75" spans="1:10" ht="12.75">
      <c r="A75" s="27"/>
      <c r="B75" s="47"/>
      <c r="C75" s="48"/>
      <c r="D75" s="48"/>
      <c r="E75" s="48"/>
      <c r="F75" s="48"/>
      <c r="G75" s="48"/>
      <c r="H75" s="42"/>
      <c r="I75" s="48"/>
      <c r="J75" s="16"/>
    </row>
    <row r="76" spans="1:10" ht="12.75">
      <c r="A76" s="28" t="s">
        <v>38</v>
      </c>
      <c r="B76" s="36">
        <f aca="true" t="shared" si="21" ref="B76:I76">+SUM(B77:B84)</f>
        <v>3010.6143999999995</v>
      </c>
      <c r="C76" s="38">
        <f t="shared" si="21"/>
        <v>3</v>
      </c>
      <c r="D76" s="38">
        <f t="shared" si="21"/>
        <v>0</v>
      </c>
      <c r="E76" s="38">
        <f t="shared" si="21"/>
        <v>-29</v>
      </c>
      <c r="F76" s="38">
        <f t="shared" si="21"/>
        <v>-35</v>
      </c>
      <c r="G76" s="38">
        <f t="shared" si="21"/>
        <v>0</v>
      </c>
      <c r="H76" s="38">
        <f t="shared" si="21"/>
        <v>0</v>
      </c>
      <c r="I76" s="38">
        <f t="shared" si="21"/>
        <v>2949.6143999999995</v>
      </c>
      <c r="J76" s="79">
        <f aca="true" t="shared" si="22" ref="J76:J84">+(I76-B76)/B76</f>
        <v>-0.020261644932011224</v>
      </c>
    </row>
    <row r="77" spans="1:10" ht="12.75">
      <c r="A77" s="21" t="s">
        <v>74</v>
      </c>
      <c r="B77" s="41">
        <f>'2015-16'!J77</f>
        <v>1046.5303999999996</v>
      </c>
      <c r="C77" s="42">
        <f>'[26]Appendix2 Feeder 1617'!C17</f>
        <v>3</v>
      </c>
      <c r="D77" s="42">
        <f>'[26]Appendix2 Feeder 1617'!D17</f>
        <v>0</v>
      </c>
      <c r="E77" s="42">
        <f>'[26]Appendix2 Feeder 1617'!E17</f>
        <v>-13</v>
      </c>
      <c r="F77" s="42">
        <f>'[26]Appendix2 Feeder 1617'!F17</f>
        <v>0</v>
      </c>
      <c r="G77" s="42">
        <f>'[26]Appendix2 Feeder 1617'!G17</f>
        <v>0</v>
      </c>
      <c r="H77" s="42">
        <f>'[26]Appendix2 Feeder 1617'!H17</f>
        <v>0</v>
      </c>
      <c r="I77" s="40">
        <f aca="true" t="shared" si="23" ref="I77:I84">+B77+SUM(C77:H77)</f>
        <v>1036.5303999999996</v>
      </c>
      <c r="J77" s="80">
        <f t="shared" si="22"/>
        <v>-0.009555384153198038</v>
      </c>
    </row>
    <row r="78" spans="1:10" ht="12.75">
      <c r="A78" s="21" t="s">
        <v>137</v>
      </c>
      <c r="B78" s="41">
        <f>'2015-16'!J78</f>
        <v>6.856</v>
      </c>
      <c r="C78" s="42">
        <f>'[26]Appendix2 Feeder 1617'!C18</f>
        <v>0</v>
      </c>
      <c r="D78" s="42">
        <f>'[26]Appendix2 Feeder 1617'!D18</f>
        <v>0</v>
      </c>
      <c r="E78" s="42">
        <f>'[26]Appendix2 Feeder 1617'!E18</f>
        <v>0</v>
      </c>
      <c r="F78" s="42">
        <f>'[26]Appendix2 Feeder 1617'!F18</f>
        <v>0</v>
      </c>
      <c r="G78" s="42">
        <f>'[26]Appendix2 Feeder 1617'!G18</f>
        <v>0</v>
      </c>
      <c r="H78" s="42">
        <f>'[26]Appendix2 Feeder 1617'!H18</f>
        <v>0</v>
      </c>
      <c r="I78" s="40">
        <f t="shared" si="23"/>
        <v>6.856</v>
      </c>
      <c r="J78" s="80">
        <f t="shared" si="22"/>
        <v>0</v>
      </c>
    </row>
    <row r="79" spans="1:10" ht="12.75">
      <c r="A79" s="21" t="s">
        <v>75</v>
      </c>
      <c r="B79" s="41">
        <f>'2015-16'!J79</f>
        <v>92.243</v>
      </c>
      <c r="C79" s="42">
        <f>'[26]Appendix2 Feeder 1617'!C19</f>
        <v>0</v>
      </c>
      <c r="D79" s="42">
        <f>'[26]Appendix2 Feeder 1617'!D19</f>
        <v>0</v>
      </c>
      <c r="E79" s="42">
        <f>'[26]Appendix2 Feeder 1617'!E19</f>
        <v>0</v>
      </c>
      <c r="F79" s="42">
        <f>'[26]Appendix2 Feeder 1617'!F19</f>
        <v>0</v>
      </c>
      <c r="G79" s="42">
        <f>'[26]Appendix2 Feeder 1617'!G19</f>
        <v>0</v>
      </c>
      <c r="H79" s="42">
        <f>'[26]Appendix2 Feeder 1617'!H19</f>
        <v>0</v>
      </c>
      <c r="I79" s="40">
        <f t="shared" si="23"/>
        <v>92.243</v>
      </c>
      <c r="J79" s="80">
        <f t="shared" si="22"/>
        <v>0</v>
      </c>
    </row>
    <row r="80" spans="1:10" ht="12.75">
      <c r="A80" s="21" t="s">
        <v>76</v>
      </c>
      <c r="B80" s="41">
        <f>'2015-16'!J80</f>
        <v>-10.853</v>
      </c>
      <c r="C80" s="42">
        <f>'[26]Appendix2 Feeder 1617'!C20</f>
        <v>0</v>
      </c>
      <c r="D80" s="42">
        <f>'[26]Appendix2 Feeder 1617'!D20</f>
        <v>0</v>
      </c>
      <c r="E80" s="42">
        <f>'[26]Appendix2 Feeder 1617'!E20</f>
        <v>0</v>
      </c>
      <c r="F80" s="42">
        <f>'[26]Appendix2 Feeder 1617'!F20</f>
        <v>0</v>
      </c>
      <c r="G80" s="42">
        <f>'[26]Appendix2 Feeder 1617'!G20</f>
        <v>0</v>
      </c>
      <c r="H80" s="42">
        <f>'[26]Appendix2 Feeder 1617'!H20</f>
        <v>0</v>
      </c>
      <c r="I80" s="40">
        <f t="shared" si="23"/>
        <v>-10.853</v>
      </c>
      <c r="J80" s="80">
        <f t="shared" si="22"/>
        <v>0</v>
      </c>
    </row>
    <row r="81" spans="1:10" ht="12.75">
      <c r="A81" s="21" t="s">
        <v>77</v>
      </c>
      <c r="B81" s="41">
        <f>'2015-16'!J81</f>
        <v>18.65</v>
      </c>
      <c r="C81" s="42">
        <f>'[26]Appendix2 Feeder 1617'!C21</f>
        <v>0</v>
      </c>
      <c r="D81" s="42">
        <f>'[26]Appendix2 Feeder 1617'!D21</f>
        <v>0</v>
      </c>
      <c r="E81" s="42">
        <f>'[26]Appendix2 Feeder 1617'!E21</f>
        <v>0</v>
      </c>
      <c r="F81" s="42">
        <f>'[26]Appendix2 Feeder 1617'!F21</f>
        <v>0</v>
      </c>
      <c r="G81" s="42">
        <f>'[26]Appendix2 Feeder 1617'!G21</f>
        <v>0</v>
      </c>
      <c r="H81" s="42">
        <f>'[26]Appendix2 Feeder 1617'!H21</f>
        <v>0</v>
      </c>
      <c r="I81" s="40">
        <f t="shared" si="23"/>
        <v>18.65</v>
      </c>
      <c r="J81" s="80">
        <f t="shared" si="22"/>
        <v>0</v>
      </c>
    </row>
    <row r="82" spans="1:10" ht="12.75">
      <c r="A82" s="21" t="s">
        <v>78</v>
      </c>
      <c r="B82" s="41">
        <f>'2015-16'!J82</f>
        <v>132.888</v>
      </c>
      <c r="C82" s="42">
        <f>'[26]Appendix2 Feeder 1617'!C22</f>
        <v>0</v>
      </c>
      <c r="D82" s="42">
        <f>'[26]Appendix2 Feeder 1617'!D22</f>
        <v>0</v>
      </c>
      <c r="E82" s="42">
        <f>'[26]Appendix2 Feeder 1617'!E22</f>
        <v>0</v>
      </c>
      <c r="F82" s="42">
        <f>'[26]Appendix2 Feeder 1617'!F22</f>
        <v>0</v>
      </c>
      <c r="G82" s="42">
        <f>'[26]Appendix2 Feeder 1617'!G22</f>
        <v>0</v>
      </c>
      <c r="H82" s="42">
        <f>'[26]Appendix2 Feeder 1617'!H22</f>
        <v>0</v>
      </c>
      <c r="I82" s="40">
        <f t="shared" si="23"/>
        <v>132.888</v>
      </c>
      <c r="J82" s="80">
        <f t="shared" si="22"/>
        <v>0</v>
      </c>
    </row>
    <row r="83" spans="1:10" ht="12.75">
      <c r="A83" s="21" t="s">
        <v>79</v>
      </c>
      <c r="B83" s="41">
        <f>'2015-16'!J83</f>
        <v>1671.493</v>
      </c>
      <c r="C83" s="42">
        <f>'[26]Appendix2 Feeder 1617'!C23</f>
        <v>0</v>
      </c>
      <c r="D83" s="42">
        <f>'[26]Appendix2 Feeder 1617'!D23</f>
        <v>0</v>
      </c>
      <c r="E83" s="42">
        <f>'[26]Appendix2 Feeder 1617'!E23</f>
        <v>-16</v>
      </c>
      <c r="F83" s="42">
        <f>'[26]Appendix2 Feeder 1617'!F23</f>
        <v>-35</v>
      </c>
      <c r="G83" s="42">
        <f>'[26]Appendix2 Feeder 1617'!G23</f>
        <v>0</v>
      </c>
      <c r="H83" s="42">
        <f>'[26]Appendix2 Feeder 1617'!H23</f>
        <v>0</v>
      </c>
      <c r="I83" s="40">
        <f t="shared" si="23"/>
        <v>1620.493</v>
      </c>
      <c r="J83" s="80">
        <f t="shared" si="22"/>
        <v>-0.030511644380203807</v>
      </c>
    </row>
    <row r="84" spans="1:10" ht="12.75">
      <c r="A84" s="21" t="s">
        <v>80</v>
      </c>
      <c r="B84" s="41">
        <f>'2015-16'!J84</f>
        <v>52.807</v>
      </c>
      <c r="C84" s="42">
        <f>'[26]Appendix2 Feeder 1617'!C24</f>
        <v>0</v>
      </c>
      <c r="D84" s="42">
        <f>'[26]Appendix2 Feeder 1617'!D24</f>
        <v>0</v>
      </c>
      <c r="E84" s="42">
        <f>'[26]Appendix2 Feeder 1617'!E24</f>
        <v>0</v>
      </c>
      <c r="F84" s="42">
        <f>'[26]Appendix2 Feeder 1617'!F24</f>
        <v>0</v>
      </c>
      <c r="G84" s="42">
        <f>'[26]Appendix2 Feeder 1617'!G24</f>
        <v>0</v>
      </c>
      <c r="H84" s="42">
        <f>'[26]Appendix2 Feeder 1617'!H24</f>
        <v>0</v>
      </c>
      <c r="I84" s="40">
        <f t="shared" si="23"/>
        <v>52.807</v>
      </c>
      <c r="J84" s="80">
        <f t="shared" si="22"/>
        <v>0</v>
      </c>
    </row>
    <row r="85" spans="1:10" ht="12.75">
      <c r="A85" s="28"/>
      <c r="B85" s="47"/>
      <c r="C85" s="48"/>
      <c r="D85" s="48"/>
      <c r="E85" s="48"/>
      <c r="F85" s="48"/>
      <c r="G85" s="42"/>
      <c r="H85" s="42"/>
      <c r="I85" s="48"/>
      <c r="J85" s="16"/>
    </row>
    <row r="86" spans="1:10" ht="12.75">
      <c r="A86" s="27"/>
      <c r="B86" s="47"/>
      <c r="C86" s="100"/>
      <c r="D86" s="100"/>
      <c r="E86" s="100"/>
      <c r="F86" s="100"/>
      <c r="G86" s="100"/>
      <c r="H86" s="100"/>
      <c r="I86" s="100"/>
      <c r="J86" s="16"/>
    </row>
    <row r="87" spans="1:10" ht="12.75">
      <c r="A87" s="57" t="s">
        <v>39</v>
      </c>
      <c r="B87" s="36">
        <f aca="true" t="shared" si="24" ref="B87:I87">B89+B95+B103</f>
        <v>4475.504</v>
      </c>
      <c r="C87" s="37">
        <f t="shared" si="24"/>
        <v>0</v>
      </c>
      <c r="D87" s="37">
        <f t="shared" si="24"/>
        <v>0</v>
      </c>
      <c r="E87" s="37">
        <f t="shared" si="24"/>
        <v>-5.272</v>
      </c>
      <c r="F87" s="37">
        <f t="shared" si="24"/>
        <v>0</v>
      </c>
      <c r="G87" s="37">
        <f t="shared" si="24"/>
        <v>-51.474000000000004</v>
      </c>
      <c r="H87" s="37">
        <f t="shared" si="24"/>
        <v>0</v>
      </c>
      <c r="I87" s="37">
        <f t="shared" si="24"/>
        <v>4418.758</v>
      </c>
      <c r="J87" s="79">
        <f>+(I87-B87)/B87</f>
        <v>-0.012679242382533921</v>
      </c>
    </row>
    <row r="88" spans="1:10" ht="12.75">
      <c r="A88" s="31"/>
      <c r="B88" s="47"/>
      <c r="C88" s="100"/>
      <c r="D88" s="100"/>
      <c r="E88" s="100"/>
      <c r="F88" s="100"/>
      <c r="G88" s="100"/>
      <c r="H88" s="100"/>
      <c r="I88" s="100"/>
      <c r="J88" s="16"/>
    </row>
    <row r="89" spans="1:10" ht="12.75" customHeight="1">
      <c r="A89" s="26" t="s">
        <v>116</v>
      </c>
      <c r="B89" s="36">
        <f aca="true" t="shared" si="25" ref="B89:I89">+SUM(B90:B93)</f>
        <v>870.451</v>
      </c>
      <c r="C89" s="37">
        <f t="shared" si="25"/>
        <v>0</v>
      </c>
      <c r="D89" s="37">
        <f t="shared" si="25"/>
        <v>0</v>
      </c>
      <c r="E89" s="37">
        <f t="shared" si="25"/>
        <v>0</v>
      </c>
      <c r="F89" s="37">
        <f t="shared" si="25"/>
        <v>0</v>
      </c>
      <c r="G89" s="37">
        <f t="shared" si="25"/>
        <v>-28.5</v>
      </c>
      <c r="H89" s="37">
        <f t="shared" si="25"/>
        <v>0</v>
      </c>
      <c r="I89" s="37">
        <f t="shared" si="25"/>
        <v>841.951</v>
      </c>
      <c r="J89" s="79">
        <f>+(I89-B89)/B89</f>
        <v>-0.03274164772054946</v>
      </c>
    </row>
    <row r="90" spans="1:10" ht="12.75">
      <c r="A90" s="83" t="s">
        <v>139</v>
      </c>
      <c r="B90" s="41">
        <f>'2015-16'!J90</f>
        <v>-133.141</v>
      </c>
      <c r="C90" s="125">
        <f>+'[24]Appendix2 1617 Feeder'!C15</f>
        <v>0</v>
      </c>
      <c r="D90" s="125">
        <f>+'[24]Appendix2 1617 Feeder'!D15</f>
        <v>0</v>
      </c>
      <c r="E90" s="125">
        <f>+'[24]Appendix2 1617 Feeder'!E15</f>
        <v>0</v>
      </c>
      <c r="F90" s="125">
        <f>+'[24]Appendix2 1617 Feeder'!F15</f>
        <v>0</v>
      </c>
      <c r="G90" s="125">
        <f>+'[24]Appendix2 1617 Feeder'!G15</f>
        <v>-17</v>
      </c>
      <c r="H90" s="125">
        <f>+'[24]Appendix2 1617 Feeder'!H15</f>
        <v>0</v>
      </c>
      <c r="I90" s="40">
        <f>+B90+SUM(C90:H90)</f>
        <v>-150.141</v>
      </c>
      <c r="J90" s="80">
        <f>+(I90-B90)/B90</f>
        <v>0.127684184436049</v>
      </c>
    </row>
    <row r="91" spans="1:10" ht="12.75">
      <c r="A91" s="83" t="s">
        <v>140</v>
      </c>
      <c r="B91" s="41">
        <f>'2015-16'!J91</f>
        <v>355.807</v>
      </c>
      <c r="C91" s="125">
        <f>+'[24]Appendix2 1617 Feeder'!C16</f>
        <v>0</v>
      </c>
      <c r="D91" s="125">
        <f>+'[24]Appendix2 1617 Feeder'!D16</f>
        <v>0</v>
      </c>
      <c r="E91" s="125">
        <f>+'[24]Appendix2 1617 Feeder'!E16</f>
        <v>0</v>
      </c>
      <c r="F91" s="125">
        <f>+'[24]Appendix2 1617 Feeder'!F16</f>
        <v>0</v>
      </c>
      <c r="G91" s="125">
        <f>+'[24]Appendix2 1617 Feeder'!G16</f>
        <v>-5</v>
      </c>
      <c r="H91" s="125">
        <f>+'[24]Appendix2 1617 Feeder'!H16</f>
        <v>0</v>
      </c>
      <c r="I91" s="40">
        <f>+B91+SUM(C91:H91)</f>
        <v>350.807</v>
      </c>
      <c r="J91" s="80">
        <f>+(I91-B91)/B91</f>
        <v>-0.014052562203666593</v>
      </c>
    </row>
    <row r="92" spans="1:10" ht="12.75">
      <c r="A92" s="83" t="s">
        <v>68</v>
      </c>
      <c r="B92" s="41">
        <f>'2015-16'!J92</f>
        <v>476.43899999999996</v>
      </c>
      <c r="C92" s="125">
        <f>+'[24]Appendix2 1617 Feeder'!C17</f>
        <v>0</v>
      </c>
      <c r="D92" s="125">
        <f>+'[24]Appendix2 1617 Feeder'!D17</f>
        <v>0</v>
      </c>
      <c r="E92" s="125">
        <f>+'[24]Appendix2 1617 Feeder'!E17</f>
        <v>0</v>
      </c>
      <c r="F92" s="125">
        <f>+'[24]Appendix2 1617 Feeder'!F17</f>
        <v>0</v>
      </c>
      <c r="G92" s="125">
        <f>+'[24]Appendix2 1617 Feeder'!G17</f>
        <v>-6.5</v>
      </c>
      <c r="H92" s="125">
        <f>+'[24]Appendix2 1617 Feeder'!H17</f>
        <v>0</v>
      </c>
      <c r="I92" s="40">
        <f>+B92+SUM(C92:H92)</f>
        <v>469.93899999999996</v>
      </c>
      <c r="J92" s="80">
        <f>+(I92-B92)/B92</f>
        <v>-0.013642879781042274</v>
      </c>
    </row>
    <row r="93" spans="1:10" ht="12.75">
      <c r="A93" s="83" t="s">
        <v>141</v>
      </c>
      <c r="B93" s="41">
        <f>'2015-16'!J93</f>
        <v>171.346</v>
      </c>
      <c r="C93" s="125">
        <f>+'[24]Appendix2 1617 Feeder'!C18</f>
        <v>0</v>
      </c>
      <c r="D93" s="125">
        <f>+'[24]Appendix2 1617 Feeder'!D18</f>
        <v>0</v>
      </c>
      <c r="E93" s="125">
        <f>+'[24]Appendix2 1617 Feeder'!E18</f>
        <v>0</v>
      </c>
      <c r="F93" s="125">
        <f>+'[24]Appendix2 1617 Feeder'!F18</f>
        <v>0</v>
      </c>
      <c r="G93" s="125">
        <f>+'[24]Appendix2 1617 Feeder'!G18</f>
        <v>0</v>
      </c>
      <c r="H93" s="125">
        <f>+'[24]Appendix2 1617 Feeder'!H18</f>
        <v>0</v>
      </c>
      <c r="I93" s="40">
        <f>+B93+SUM(C93:H93)</f>
        <v>171.346</v>
      </c>
      <c r="J93" s="80">
        <f>+(I93-B93)/B93</f>
        <v>0</v>
      </c>
    </row>
    <row r="94" spans="1:10" ht="12.75">
      <c r="A94" s="83"/>
      <c r="B94" s="41"/>
      <c r="C94" s="40"/>
      <c r="D94" s="40"/>
      <c r="E94" s="40"/>
      <c r="F94" s="40"/>
      <c r="G94" s="40"/>
      <c r="H94" s="40"/>
      <c r="I94" s="40"/>
      <c r="J94" s="80"/>
    </row>
    <row r="95" spans="1:10" ht="12.75">
      <c r="A95" s="26" t="s">
        <v>14</v>
      </c>
      <c r="B95" s="36">
        <f aca="true" t="shared" si="26" ref="B95:I95">+SUM(B96:B100)</f>
        <v>1202.5</v>
      </c>
      <c r="C95" s="38">
        <f t="shared" si="26"/>
        <v>0</v>
      </c>
      <c r="D95" s="38">
        <f t="shared" si="26"/>
        <v>0</v>
      </c>
      <c r="E95" s="38">
        <f t="shared" si="26"/>
        <v>0</v>
      </c>
      <c r="F95" s="38">
        <f t="shared" si="26"/>
        <v>0</v>
      </c>
      <c r="G95" s="38">
        <f t="shared" si="26"/>
        <v>-17.974</v>
      </c>
      <c r="H95" s="38">
        <f t="shared" si="26"/>
        <v>0</v>
      </c>
      <c r="I95" s="38">
        <f t="shared" si="26"/>
        <v>1184.526</v>
      </c>
      <c r="J95" s="79">
        <f aca="true" t="shared" si="27" ref="J95:J100">+(I95-B95)/B95</f>
        <v>-0.01494719334719329</v>
      </c>
    </row>
    <row r="96" spans="1:10" ht="12.75">
      <c r="A96" s="10" t="s">
        <v>15</v>
      </c>
      <c r="B96" s="41">
        <f>'2015-16'!J96</f>
        <v>650.108</v>
      </c>
      <c r="C96" s="42">
        <f>'[22]Appendix2 1617 Feeder'!C15</f>
        <v>0</v>
      </c>
      <c r="D96" s="42">
        <f>'[22]Appendix2 1617 Feeder'!D15</f>
        <v>0</v>
      </c>
      <c r="E96" s="42">
        <f>'[22]Appendix2 1617 Feeder'!E15</f>
        <v>0</v>
      </c>
      <c r="F96" s="42">
        <f>'[22]Appendix2 1617 Feeder'!F15</f>
        <v>0</v>
      </c>
      <c r="G96" s="42">
        <f>'[22]Appendix2 1617 Feeder'!G15</f>
        <v>0</v>
      </c>
      <c r="H96" s="42">
        <f>'[22]Appendix2 1617 Feeder'!H15</f>
        <v>0</v>
      </c>
      <c r="I96" s="40">
        <f aca="true" t="shared" si="28" ref="I96:I101">+B96+SUM(C96:H96)</f>
        <v>650.108</v>
      </c>
      <c r="J96" s="80">
        <f t="shared" si="27"/>
        <v>0</v>
      </c>
    </row>
    <row r="97" spans="1:10" ht="12.75">
      <c r="A97" s="10" t="s">
        <v>16</v>
      </c>
      <c r="B97" s="41">
        <f>'2015-16'!J97</f>
        <v>40.014</v>
      </c>
      <c r="C97" s="42">
        <f>'[22]Appendix2 1617 Feeder'!C16</f>
        <v>0</v>
      </c>
      <c r="D97" s="42">
        <f>'[22]Appendix2 1617 Feeder'!D16</f>
        <v>0</v>
      </c>
      <c r="E97" s="42">
        <f>'[22]Appendix2 1617 Feeder'!E16</f>
        <v>0</v>
      </c>
      <c r="F97" s="42">
        <f>'[22]Appendix2 1617 Feeder'!F16</f>
        <v>0</v>
      </c>
      <c r="G97" s="42">
        <f>'[22]Appendix2 1617 Feeder'!G16</f>
        <v>0</v>
      </c>
      <c r="H97" s="42">
        <f>'[22]Appendix2 1617 Feeder'!H16</f>
        <v>0</v>
      </c>
      <c r="I97" s="40">
        <f t="shared" si="28"/>
        <v>40.014</v>
      </c>
      <c r="J97" s="80">
        <f t="shared" si="27"/>
        <v>0</v>
      </c>
    </row>
    <row r="98" spans="1:10" ht="12.75" hidden="1">
      <c r="A98" s="10" t="s">
        <v>17</v>
      </c>
      <c r="B98" s="41">
        <f>'2015-16'!J98</f>
        <v>0</v>
      </c>
      <c r="C98" s="42">
        <f>'[22]Appendix2 1617 Feeder'!C17</f>
        <v>0</v>
      </c>
      <c r="D98" s="42">
        <f>'[22]Appendix2 1617 Feeder'!D17</f>
        <v>0</v>
      </c>
      <c r="E98" s="42">
        <f>'[22]Appendix2 1617 Feeder'!E17</f>
        <v>0</v>
      </c>
      <c r="F98" s="42">
        <f>'[22]Appendix2 1617 Feeder'!F17</f>
        <v>0</v>
      </c>
      <c r="G98" s="42">
        <f>'[22]Appendix2 1617 Feeder'!G17</f>
        <v>0</v>
      </c>
      <c r="H98" s="42">
        <f>'[22]Appendix2 1617 Feeder'!H17</f>
        <v>0</v>
      </c>
      <c r="I98" s="40">
        <f t="shared" si="28"/>
        <v>0</v>
      </c>
      <c r="J98" s="80" t="e">
        <f t="shared" si="27"/>
        <v>#DIV/0!</v>
      </c>
    </row>
    <row r="99" spans="1:10" ht="12.75">
      <c r="A99" s="10" t="s">
        <v>18</v>
      </c>
      <c r="B99" s="41">
        <f>'2015-16'!J99</f>
        <v>519.7620000000001</v>
      </c>
      <c r="C99" s="42">
        <f>'[22]Appendix2 1617 Feeder'!C18</f>
        <v>0</v>
      </c>
      <c r="D99" s="42">
        <f>'[22]Appendix2 1617 Feeder'!D18</f>
        <v>0</v>
      </c>
      <c r="E99" s="42">
        <f>'[22]Appendix2 1617 Feeder'!E18</f>
        <v>0</v>
      </c>
      <c r="F99" s="42">
        <f>'[22]Appendix2 1617 Feeder'!F18</f>
        <v>0</v>
      </c>
      <c r="G99" s="42">
        <f>'[22]Appendix2 1617 Feeder'!G18</f>
        <v>-17.974</v>
      </c>
      <c r="H99" s="42">
        <f>'[22]Appendix2 1617 Feeder'!H18</f>
        <v>0</v>
      </c>
      <c r="I99" s="40">
        <f t="shared" si="28"/>
        <v>501.78800000000007</v>
      </c>
      <c r="J99" s="80">
        <f t="shared" si="27"/>
        <v>-0.03458121217018556</v>
      </c>
    </row>
    <row r="100" spans="1:10" ht="12.75">
      <c r="A100" s="10" t="s">
        <v>19</v>
      </c>
      <c r="B100" s="41">
        <f>'2015-16'!J100</f>
        <v>-7.384</v>
      </c>
      <c r="C100" s="42">
        <f>'[22]Appendix2 1617 Feeder'!C19</f>
        <v>0</v>
      </c>
      <c r="D100" s="42">
        <f>'[22]Appendix2 1617 Feeder'!D19</f>
        <v>0</v>
      </c>
      <c r="E100" s="42">
        <f>'[22]Appendix2 1617 Feeder'!E19</f>
        <v>0</v>
      </c>
      <c r="F100" s="42">
        <f>'[22]Appendix2 1617 Feeder'!F19</f>
        <v>0</v>
      </c>
      <c r="G100" s="42">
        <f>'[22]Appendix2 1617 Feeder'!G19</f>
        <v>0</v>
      </c>
      <c r="H100" s="42">
        <f>'[22]Appendix2 1617 Feeder'!H19</f>
        <v>0</v>
      </c>
      <c r="I100" s="40">
        <f t="shared" si="28"/>
        <v>-7.384</v>
      </c>
      <c r="J100" s="80">
        <f t="shared" si="27"/>
        <v>0</v>
      </c>
    </row>
    <row r="101" spans="1:10" ht="12.75">
      <c r="A101" s="10"/>
      <c r="B101" s="41"/>
      <c r="C101" s="42"/>
      <c r="D101" s="42"/>
      <c r="E101" s="42"/>
      <c r="F101" s="42"/>
      <c r="G101" s="42"/>
      <c r="H101" s="42"/>
      <c r="I101" s="40">
        <f t="shared" si="28"/>
        <v>0</v>
      </c>
      <c r="J101" s="16"/>
    </row>
    <row r="102" spans="1:10" ht="12.75">
      <c r="A102" s="27"/>
      <c r="B102" s="47"/>
      <c r="C102" s="48"/>
      <c r="D102" s="48"/>
      <c r="E102" s="48"/>
      <c r="F102" s="48"/>
      <c r="G102" s="48"/>
      <c r="H102" s="48"/>
      <c r="I102" s="48"/>
      <c r="J102" s="16"/>
    </row>
    <row r="103" spans="1:10" ht="12.75">
      <c r="A103" s="26" t="s">
        <v>23</v>
      </c>
      <c r="B103" s="36">
        <f aca="true" t="shared" si="29" ref="B103:I103">+SUM(B104:B109)</f>
        <v>2402.553</v>
      </c>
      <c r="C103" s="38">
        <f t="shared" si="29"/>
        <v>0</v>
      </c>
      <c r="D103" s="38">
        <f t="shared" si="29"/>
        <v>0</v>
      </c>
      <c r="E103" s="38">
        <f t="shared" si="29"/>
        <v>-5.272</v>
      </c>
      <c r="F103" s="38">
        <f t="shared" si="29"/>
        <v>0</v>
      </c>
      <c r="G103" s="38">
        <f t="shared" si="29"/>
        <v>-5</v>
      </c>
      <c r="H103" s="38">
        <f t="shared" si="29"/>
        <v>0</v>
      </c>
      <c r="I103" s="38">
        <f t="shared" si="29"/>
        <v>2392.281</v>
      </c>
      <c r="J103" s="79">
        <f aca="true" t="shared" si="30" ref="J103:J109">+(I103-B103)/B103</f>
        <v>-0.0042754519879477934</v>
      </c>
    </row>
    <row r="104" spans="1:10" ht="12.75">
      <c r="A104" s="11" t="s">
        <v>62</v>
      </c>
      <c r="B104" s="41">
        <f>'2015-16'!J104</f>
        <v>221.469</v>
      </c>
      <c r="C104" s="42">
        <f>'[27]Appendix2 1617 Feeder'!C15</f>
        <v>0</v>
      </c>
      <c r="D104" s="42">
        <f>'[27]Appendix2 1617 Feeder'!D15</f>
        <v>0</v>
      </c>
      <c r="E104" s="42">
        <f>'[27]Appendix2 1617 Feeder'!E15</f>
        <v>-4.272</v>
      </c>
      <c r="F104" s="42">
        <f>'[27]Appendix2 1617 Feeder'!F15</f>
        <v>0</v>
      </c>
      <c r="G104" s="42">
        <f>'[27]Appendix2 1617 Feeder'!G15</f>
        <v>0</v>
      </c>
      <c r="H104" s="42">
        <f>'[27]Appendix2 1617 Feeder'!H15</f>
        <v>0</v>
      </c>
      <c r="I104" s="40">
        <f aca="true" t="shared" si="31" ref="I104:I109">+B104+SUM(C104:H104)</f>
        <v>217.197</v>
      </c>
      <c r="J104" s="80">
        <f t="shared" si="30"/>
        <v>-0.019289381358113287</v>
      </c>
    </row>
    <row r="105" spans="1:10" ht="12.75">
      <c r="A105" s="11" t="s">
        <v>63</v>
      </c>
      <c r="B105" s="41">
        <f>'2015-16'!J105</f>
        <v>158.248</v>
      </c>
      <c r="C105" s="42">
        <f>'[27]Appendix2 1617 Feeder'!C16</f>
        <v>0</v>
      </c>
      <c r="D105" s="42">
        <f>'[27]Appendix2 1617 Feeder'!D16</f>
        <v>0</v>
      </c>
      <c r="E105" s="42">
        <f>'[27]Appendix2 1617 Feeder'!E16</f>
        <v>-1</v>
      </c>
      <c r="F105" s="42">
        <f>'[27]Appendix2 1617 Feeder'!F16</f>
        <v>0</v>
      </c>
      <c r="G105" s="42">
        <f>'[27]Appendix2 1617 Feeder'!G16</f>
        <v>0</v>
      </c>
      <c r="H105" s="42">
        <f>'[27]Appendix2 1617 Feeder'!H16</f>
        <v>0</v>
      </c>
      <c r="I105" s="40">
        <f t="shared" si="31"/>
        <v>157.248</v>
      </c>
      <c r="J105" s="80">
        <f t="shared" si="30"/>
        <v>-0.006319195187300946</v>
      </c>
    </row>
    <row r="106" spans="1:10" ht="12.75">
      <c r="A106" s="11" t="s">
        <v>64</v>
      </c>
      <c r="B106" s="41">
        <f>'2015-16'!J106</f>
        <v>717.154</v>
      </c>
      <c r="C106" s="42">
        <f>'[27]Appendix2 1617 Feeder'!C17</f>
        <v>0</v>
      </c>
      <c r="D106" s="42">
        <f>'[27]Appendix2 1617 Feeder'!D17</f>
        <v>0</v>
      </c>
      <c r="E106" s="42">
        <f>'[27]Appendix2 1617 Feeder'!E17</f>
        <v>0</v>
      </c>
      <c r="F106" s="42">
        <f>'[27]Appendix2 1617 Feeder'!F17</f>
        <v>0</v>
      </c>
      <c r="G106" s="42">
        <f>'[27]Appendix2 1617 Feeder'!G17</f>
        <v>-5</v>
      </c>
      <c r="H106" s="42">
        <f>'[27]Appendix2 1617 Feeder'!H17</f>
        <v>0</v>
      </c>
      <c r="I106" s="40">
        <f t="shared" si="31"/>
        <v>712.154</v>
      </c>
      <c r="J106" s="80">
        <f t="shared" si="30"/>
        <v>-0.006972003223854291</v>
      </c>
    </row>
    <row r="107" spans="1:10" ht="12.75">
      <c r="A107" s="11" t="s">
        <v>65</v>
      </c>
      <c r="B107" s="41">
        <f>'2015-16'!J107</f>
        <v>439.242</v>
      </c>
      <c r="C107" s="42">
        <f>'[27]Appendix2 1617 Feeder'!C18</f>
        <v>0</v>
      </c>
      <c r="D107" s="42">
        <f>'[27]Appendix2 1617 Feeder'!D18</f>
        <v>0</v>
      </c>
      <c r="E107" s="42">
        <f>'[27]Appendix2 1617 Feeder'!E18</f>
        <v>0</v>
      </c>
      <c r="F107" s="42">
        <f>'[27]Appendix2 1617 Feeder'!F18</f>
        <v>0</v>
      </c>
      <c r="G107" s="42">
        <f>'[27]Appendix2 1617 Feeder'!G18</f>
        <v>0</v>
      </c>
      <c r="H107" s="42">
        <f>'[27]Appendix2 1617 Feeder'!H18</f>
        <v>0</v>
      </c>
      <c r="I107" s="40">
        <f t="shared" si="31"/>
        <v>439.242</v>
      </c>
      <c r="J107" s="80">
        <f t="shared" si="30"/>
        <v>0</v>
      </c>
    </row>
    <row r="108" spans="1:10" ht="12.75">
      <c r="A108" s="11" t="s">
        <v>66</v>
      </c>
      <c r="B108" s="41">
        <f>'2015-16'!J108</f>
        <v>52.728</v>
      </c>
      <c r="C108" s="42">
        <f>'[27]Appendix2 1617 Feeder'!C19</f>
        <v>0</v>
      </c>
      <c r="D108" s="42">
        <f>'[27]Appendix2 1617 Feeder'!D19</f>
        <v>0</v>
      </c>
      <c r="E108" s="42">
        <f>'[27]Appendix2 1617 Feeder'!E19</f>
        <v>0</v>
      </c>
      <c r="F108" s="42">
        <f>'[27]Appendix2 1617 Feeder'!F19</f>
        <v>0</v>
      </c>
      <c r="G108" s="42">
        <f>'[27]Appendix2 1617 Feeder'!G19</f>
        <v>0</v>
      </c>
      <c r="H108" s="42">
        <f>'[27]Appendix2 1617 Feeder'!H19</f>
        <v>0</v>
      </c>
      <c r="I108" s="40">
        <f t="shared" si="31"/>
        <v>52.728</v>
      </c>
      <c r="J108" s="80">
        <f t="shared" si="30"/>
        <v>0</v>
      </c>
    </row>
    <row r="109" spans="1:10" ht="12.75">
      <c r="A109" s="11" t="s">
        <v>67</v>
      </c>
      <c r="B109" s="41">
        <f>'2015-16'!J109</f>
        <v>813.712</v>
      </c>
      <c r="C109" s="42">
        <f>'[27]Appendix2 1617 Feeder'!C20</f>
        <v>0</v>
      </c>
      <c r="D109" s="42">
        <f>'[27]Appendix2 1617 Feeder'!D20</f>
        <v>0</v>
      </c>
      <c r="E109" s="42">
        <f>'[27]Appendix2 1617 Feeder'!E20</f>
        <v>0</v>
      </c>
      <c r="F109" s="42">
        <f>'[27]Appendix2 1617 Feeder'!F20</f>
        <v>0</v>
      </c>
      <c r="G109" s="42">
        <f>'[27]Appendix2 1617 Feeder'!G20</f>
        <v>0</v>
      </c>
      <c r="H109" s="42">
        <f>'[27]Appendix2 1617 Feeder'!H20</f>
        <v>0</v>
      </c>
      <c r="I109" s="40">
        <f t="shared" si="31"/>
        <v>813.712</v>
      </c>
      <c r="J109" s="80">
        <f t="shared" si="30"/>
        <v>0</v>
      </c>
    </row>
    <row r="110" spans="1:10" ht="12.75">
      <c r="A110" s="29"/>
      <c r="B110" s="45"/>
      <c r="C110" s="46"/>
      <c r="D110" s="46"/>
      <c r="E110" s="46"/>
      <c r="F110" s="46"/>
      <c r="G110" s="46"/>
      <c r="H110" s="46"/>
      <c r="I110" s="46"/>
      <c r="J110" s="20"/>
    </row>
    <row r="111" spans="1:12" ht="41.25" customHeight="1">
      <c r="A111" s="32" t="s">
        <v>120</v>
      </c>
      <c r="B111" s="49">
        <f aca="true" t="shared" si="32" ref="B111:I111">+B4+B27+B49+B87</f>
        <v>19468.458428092497</v>
      </c>
      <c r="C111" s="50">
        <f t="shared" si="32"/>
        <v>69.856</v>
      </c>
      <c r="D111" s="50">
        <f t="shared" si="32"/>
        <v>0</v>
      </c>
      <c r="E111" s="50">
        <f t="shared" si="32"/>
        <v>-225.09900000000002</v>
      </c>
      <c r="F111" s="50">
        <f t="shared" si="32"/>
        <v>-35</v>
      </c>
      <c r="G111" s="50">
        <f t="shared" si="32"/>
        <v>-390.95149999999995</v>
      </c>
      <c r="H111" s="50">
        <f t="shared" si="32"/>
        <v>-60</v>
      </c>
      <c r="I111" s="50">
        <f t="shared" si="32"/>
        <v>18827.2639280925</v>
      </c>
      <c r="J111" s="81">
        <f>+(I111-B111)/B111</f>
        <v>-0.03293504220523029</v>
      </c>
      <c r="L111" s="119">
        <f>+I111-B111</f>
        <v>-641.1944999999978</v>
      </c>
    </row>
    <row r="112" spans="1:10" ht="12.75">
      <c r="A112" s="33"/>
      <c r="B112" s="1"/>
      <c r="C112" s="1"/>
      <c r="D112" s="1"/>
      <c r="E112" s="1"/>
      <c r="F112" s="1"/>
      <c r="G112" s="1"/>
      <c r="H112" s="1"/>
      <c r="I112" s="22"/>
      <c r="J112" s="23"/>
    </row>
    <row r="113" spans="1:9" ht="12.75">
      <c r="A113" s="33"/>
      <c r="B113" s="1"/>
      <c r="C113" s="1"/>
      <c r="D113" s="1"/>
      <c r="E113" s="1"/>
      <c r="F113" s="1"/>
      <c r="G113" s="1"/>
      <c r="H113" s="1"/>
      <c r="I113" s="1"/>
    </row>
    <row r="114" spans="3:9" ht="12.75" hidden="1">
      <c r="C114" s="12">
        <v>16</v>
      </c>
      <c r="D114" s="12">
        <v>1141</v>
      </c>
      <c r="E114" s="12">
        <v>-1505.0497</v>
      </c>
      <c r="F114" s="12">
        <v>-756</v>
      </c>
      <c r="G114" s="12">
        <v>-537.74</v>
      </c>
      <c r="H114" s="12">
        <v>-340.8</v>
      </c>
      <c r="I114" s="12">
        <v>19468.081149999998</v>
      </c>
    </row>
    <row r="115" ht="12.75" hidden="1"/>
    <row r="116" ht="12.75" hidden="1"/>
    <row r="117" spans="3:9" ht="12.75" hidden="1">
      <c r="C117" s="60">
        <f aca="true" t="shared" si="33" ref="C117:I117">+C114-C111</f>
        <v>-53.855999999999995</v>
      </c>
      <c r="D117" s="60">
        <f t="shared" si="33"/>
        <v>1141</v>
      </c>
      <c r="E117" s="60">
        <f t="shared" si="33"/>
        <v>-1279.9507</v>
      </c>
      <c r="F117" s="60">
        <f t="shared" si="33"/>
        <v>-721</v>
      </c>
      <c r="G117" s="60">
        <f t="shared" si="33"/>
        <v>-146.78850000000006</v>
      </c>
      <c r="H117" s="60">
        <f t="shared" si="33"/>
        <v>-280.8</v>
      </c>
      <c r="I117" s="60">
        <f t="shared" si="33"/>
        <v>640.8172219074986</v>
      </c>
    </row>
    <row r="118" ht="12.75" hidden="1"/>
  </sheetData>
  <autoFilter ref="A3:J111"/>
  <mergeCells count="1">
    <mergeCell ref="A1:J1"/>
  </mergeCells>
  <conditionalFormatting sqref="J101:J102 J75 J85:J86 J110 J69 J57 J48 J50 J28 J26 J18 J88 J2:J3 J5 J12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5905511811023623" header="0.31496062992125984" footer="0.1968503937007874"/>
  <pageSetup fitToHeight="5" horizontalDpi="600" verticalDpi="600" orientation="landscape" paperSize="9" scale="85" r:id="rId1"/>
  <headerFooter alignWithMargins="0">
    <oddHeader>&amp;R&amp;16Appendix 2</oddHeader>
    <oddFooter>&amp;R&amp;16&amp;P</oddFooter>
  </headerFooter>
  <rowBreaks count="3" manualBreakCount="3">
    <brk id="26" max="255" man="1"/>
    <brk id="48" max="9" man="1"/>
    <brk id="8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Oxfordshire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2 - Detail of proposed budget by Service</dc:title>
  <dc:subject/>
  <dc:creator>Oxford City Council</dc:creator>
  <cp:keywords>Council meetings;Government, politics and public administration; Local government; Decision making; Council meetings;</cp:keywords>
  <dc:description/>
  <cp:lastModifiedBy>wreed</cp:lastModifiedBy>
  <cp:lastPrinted>2011-11-29T10:56:35Z</cp:lastPrinted>
  <dcterms:created xsi:type="dcterms:W3CDTF">2010-08-23T10:49:01Z</dcterms:created>
  <dcterms:modified xsi:type="dcterms:W3CDTF">2011-11-29T14:22:53Z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